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4200" yWindow="990" windowWidth="14325" windowHeight="12780" tabRatio="902" activeTab="1"/>
  </bookViews>
  <sheets>
    <sheet name="1-info leg." sheetId="30" r:id="rId1"/>
    <sheet name="2-Assollement" sheetId="32" r:id="rId2"/>
    <sheet name="3-Plan de Culture" sheetId="2" r:id="rId3"/>
    <sheet name="4-Réalisation" sheetId="4" r:id="rId4"/>
    <sheet name="4-bis-Réal. Graph" sheetId="29" r:id="rId5"/>
    <sheet name="5-Morgane" sheetId="35" r:id="rId6"/>
    <sheet name="5-Estrella" sheetId="36" r:id="rId7"/>
    <sheet name="5-Lelahel" sheetId="37" r:id="rId8"/>
    <sheet name="5-Viviane" sheetId="38" r:id="rId9"/>
    <sheet name="5-Aril" sheetId="39" r:id="rId10"/>
  </sheets>
  <calcPr calcId="125725" iterateDelta="1E-4"/>
</workbook>
</file>

<file path=xl/calcChain.xml><?xml version="1.0" encoding="utf-8"?>
<calcChain xmlns="http://schemas.openxmlformats.org/spreadsheetml/2006/main">
  <c r="P12" i="39"/>
  <c r="C15" i="38"/>
  <c r="C31"/>
  <c r="P46"/>
  <c r="C47"/>
  <c r="P48"/>
  <c r="P50"/>
  <c r="P51"/>
  <c r="C63"/>
  <c r="H81"/>
  <c r="H97"/>
  <c r="M75" i="37"/>
  <c r="M101"/>
  <c r="C30" i="36"/>
  <c r="C78"/>
  <c r="M78"/>
  <c r="M53" i="35"/>
  <c r="C65"/>
  <c r="H65"/>
  <c r="M65"/>
  <c r="BE5" i="4" l="1"/>
  <c r="BE9"/>
  <c r="BE10"/>
  <c r="BE14"/>
  <c r="BE15"/>
  <c r="BE18"/>
  <c r="BE19"/>
  <c r="BE29"/>
  <c r="BE30"/>
  <c r="BE31"/>
  <c r="BE32"/>
  <c r="BE33"/>
  <c r="BE34"/>
  <c r="BE36"/>
  <c r="BE37"/>
  <c r="BE39"/>
  <c r="BE40"/>
  <c r="BE42"/>
  <c r="BE43"/>
  <c r="BE45"/>
  <c r="BE49"/>
  <c r="BE50"/>
  <c r="BE51"/>
  <c r="BE52"/>
  <c r="BE53"/>
  <c r="BE54"/>
  <c r="BE55"/>
  <c r="BE62"/>
  <c r="BE63"/>
  <c r="BE64"/>
  <c r="BE65"/>
  <c r="BE66"/>
  <c r="BE67"/>
  <c r="BE69"/>
  <c r="BH69" s="1"/>
  <c r="BE70"/>
  <c r="BE71"/>
  <c r="BE72"/>
  <c r="BE73"/>
  <c r="BE74"/>
  <c r="BE75"/>
  <c r="BE76"/>
  <c r="BE77"/>
  <c r="BE78"/>
  <c r="BE79"/>
  <c r="BE80"/>
  <c r="BE81"/>
  <c r="BE82"/>
  <c r="BE83"/>
  <c r="BE84"/>
  <c r="BE85"/>
  <c r="BE86"/>
  <c r="BE87"/>
  <c r="BE88"/>
  <c r="BE89"/>
  <c r="BE90"/>
  <c r="BE91"/>
  <c r="BE92"/>
  <c r="BE93"/>
  <c r="BE94"/>
  <c r="BE95"/>
  <c r="BE96"/>
  <c r="BE98"/>
  <c r="BE100"/>
  <c r="BE101"/>
  <c r="BE102"/>
  <c r="BE103"/>
  <c r="BE104"/>
  <c r="BE105"/>
  <c r="BE106"/>
  <c r="BE108"/>
  <c r="BE110"/>
  <c r="BE111"/>
  <c r="BE112"/>
  <c r="BE113"/>
  <c r="BE114"/>
  <c r="BE116"/>
  <c r="BE117"/>
  <c r="BE118"/>
  <c r="BE119"/>
  <c r="BE121"/>
  <c r="BE122"/>
  <c r="BE125"/>
  <c r="BE126"/>
  <c r="BE127"/>
  <c r="BE128"/>
  <c r="BE129"/>
  <c r="BE130"/>
  <c r="BE131"/>
  <c r="BE132"/>
  <c r="BE133"/>
  <c r="BE134"/>
  <c r="BE135"/>
  <c r="BE136"/>
  <c r="BE137"/>
  <c r="BE139"/>
  <c r="BE140"/>
  <c r="BE141"/>
  <c r="BE142"/>
  <c r="BE143"/>
  <c r="BE144"/>
  <c r="BE145"/>
  <c r="BE146"/>
  <c r="BE147"/>
  <c r="BE148"/>
  <c r="BE149"/>
  <c r="BE150"/>
  <c r="J10"/>
  <c r="L10"/>
  <c r="BD10"/>
  <c r="BH10"/>
  <c r="J42"/>
  <c r="L42"/>
  <c r="BD42"/>
  <c r="BH42"/>
  <c r="G67"/>
  <c r="J67"/>
  <c r="L67"/>
  <c r="BD67"/>
  <c r="BH67"/>
  <c r="J69"/>
  <c r="L69"/>
  <c r="BD69"/>
  <c r="J70"/>
  <c r="L70"/>
  <c r="BD70"/>
  <c r="BH70"/>
  <c r="J74"/>
  <c r="L74"/>
  <c r="BD74"/>
  <c r="BH74"/>
  <c r="J78"/>
  <c r="L78"/>
  <c r="BD78"/>
  <c r="BH78"/>
  <c r="G79"/>
  <c r="J79"/>
  <c r="L79"/>
  <c r="BD79"/>
  <c r="BH79"/>
  <c r="J80"/>
  <c r="L80"/>
  <c r="BD80"/>
  <c r="BH80"/>
  <c r="J81"/>
  <c r="L81"/>
  <c r="BD81"/>
  <c r="BH81"/>
  <c r="Y41" i="30" l="1"/>
  <c r="Y38"/>
  <c r="Y39" s="1"/>
  <c r="V50"/>
  <c r="W50" s="1"/>
  <c r="V47"/>
  <c r="W47" s="1"/>
  <c r="AS138" i="4"/>
  <c r="BE138" s="1"/>
  <c r="AP124"/>
  <c r="AP123"/>
  <c r="AP120"/>
  <c r="BE120" s="1"/>
  <c r="AP115"/>
  <c r="BE115" s="1"/>
  <c r="AP109"/>
  <c r="BE109" s="1"/>
  <c r="AP107"/>
  <c r="BE107" s="1"/>
  <c r="AP99"/>
  <c r="BE99" s="1"/>
  <c r="AP44"/>
  <c r="BE44" s="1"/>
  <c r="J124"/>
  <c r="J123"/>
  <c r="L124"/>
  <c r="BD124"/>
  <c r="L123"/>
  <c r="BD123"/>
  <c r="J148"/>
  <c r="L148"/>
  <c r="BD148"/>
  <c r="BH148"/>
  <c r="J149"/>
  <c r="L149"/>
  <c r="BD149"/>
  <c r="BH149"/>
  <c r="AL57"/>
  <c r="J98"/>
  <c r="AK97"/>
  <c r="BE97" s="1"/>
  <c r="BE124" l="1"/>
  <c r="BH124" s="1"/>
  <c r="BE123"/>
  <c r="BH123" s="1"/>
  <c r="AJ16"/>
  <c r="AI57" l="1"/>
  <c r="BE57" s="1"/>
  <c r="J127"/>
  <c r="L127"/>
  <c r="BD127"/>
  <c r="BH127"/>
  <c r="L126"/>
  <c r="L128"/>
  <c r="L129"/>
  <c r="L130"/>
  <c r="L131"/>
  <c r="L132"/>
  <c r="L133"/>
  <c r="L134"/>
  <c r="L135"/>
  <c r="L136"/>
  <c r="L137"/>
  <c r="L138"/>
  <c r="L139"/>
  <c r="L140"/>
  <c r="L141"/>
  <c r="L142"/>
  <c r="L143"/>
  <c r="J128"/>
  <c r="J129"/>
  <c r="J130"/>
  <c r="J131"/>
  <c r="J132"/>
  <c r="J133"/>
  <c r="J134"/>
  <c r="J135"/>
  <c r="J136"/>
  <c r="J137"/>
  <c r="J138"/>
  <c r="J139"/>
  <c r="AE68"/>
  <c r="BE68" s="1"/>
  <c r="AE59"/>
  <c r="BE59" s="1"/>
  <c r="AE58"/>
  <c r="BE58" s="1"/>
  <c r="AE48"/>
  <c r="AE47"/>
  <c r="AD7"/>
  <c r="BE7" s="1"/>
  <c r="AD21"/>
  <c r="AC61" l="1"/>
  <c r="BE61" s="1"/>
  <c r="AC60"/>
  <c r="BE60" s="1"/>
  <c r="AC47"/>
  <c r="BE47" s="1"/>
  <c r="AC48"/>
  <c r="BE48" s="1"/>
  <c r="AC41"/>
  <c r="BE41" s="1"/>
  <c r="AC21"/>
  <c r="AD20" s="1"/>
  <c r="BE20" s="1"/>
  <c r="AC6"/>
  <c r="BE6" s="1"/>
  <c r="J93"/>
  <c r="L93"/>
  <c r="BD93"/>
  <c r="BH93"/>
  <c r="J92"/>
  <c r="L92"/>
  <c r="BD92"/>
  <c r="BH92"/>
  <c r="Z25"/>
  <c r="Z28"/>
  <c r="BE28" s="1"/>
  <c r="Z21"/>
  <c r="BE21" s="1"/>
  <c r="Z11"/>
  <c r="Z4"/>
  <c r="Y56" l="1"/>
  <c r="BE56" s="1"/>
  <c r="Y25"/>
  <c r="Y11"/>
  <c r="BE11" s="1"/>
  <c r="Y8"/>
  <c r="BE8" s="1"/>
  <c r="Y4"/>
  <c r="W3" l="1"/>
  <c r="V35" l="1"/>
  <c r="BE35" s="1"/>
  <c r="V27"/>
  <c r="BE27" s="1"/>
  <c r="V26"/>
  <c r="BE26" s="1"/>
  <c r="V25"/>
  <c r="BE25" s="1"/>
  <c r="V12"/>
  <c r="BE12" s="1"/>
  <c r="V23"/>
  <c r="BE23" s="1"/>
  <c r="V22"/>
  <c r="V17"/>
  <c r="BE17" s="1"/>
  <c r="V16"/>
  <c r="BE16" s="1"/>
  <c r="V13"/>
  <c r="BE13" s="1"/>
  <c r="V3"/>
  <c r="V4"/>
  <c r="BE4" s="1"/>
  <c r="V46"/>
  <c r="BE46" s="1"/>
  <c r="V24"/>
  <c r="BE24" s="1"/>
  <c r="V38"/>
  <c r="BE38" s="1"/>
  <c r="U3"/>
  <c r="U22"/>
  <c r="BE22" l="1"/>
  <c r="BH22" s="1"/>
  <c r="BE3"/>
  <c r="BH3" s="1"/>
  <c r="BH4"/>
  <c r="BH5"/>
  <c r="BH6"/>
  <c r="BH7"/>
  <c r="BH8"/>
  <c r="BH9"/>
  <c r="BH11"/>
  <c r="BH12"/>
  <c r="BH13"/>
  <c r="BH14"/>
  <c r="BH15"/>
  <c r="BH16"/>
  <c r="BH17"/>
  <c r="BH18"/>
  <c r="BH19"/>
  <c r="BH20"/>
  <c r="BH21"/>
  <c r="BH23"/>
  <c r="BH24"/>
  <c r="BH25"/>
  <c r="BH26"/>
  <c r="BH27"/>
  <c r="BH28"/>
  <c r="BH29"/>
  <c r="BH30"/>
  <c r="BH31"/>
  <c r="BH32"/>
  <c r="BH33"/>
  <c r="BH34"/>
  <c r="BH35"/>
  <c r="BH36"/>
  <c r="BH37"/>
  <c r="BH38"/>
  <c r="BH39"/>
  <c r="BH40"/>
  <c r="BH41"/>
  <c r="BH43"/>
  <c r="BH44"/>
  <c r="BH45"/>
  <c r="BH46"/>
  <c r="BH47"/>
  <c r="BH48"/>
  <c r="BH49"/>
  <c r="BH50"/>
  <c r="BH51"/>
  <c r="BH52"/>
  <c r="BH53"/>
  <c r="BH54"/>
  <c r="BH55"/>
  <c r="BH56"/>
  <c r="BH57"/>
  <c r="BH58"/>
  <c r="BH59"/>
  <c r="BH60"/>
  <c r="BH61"/>
  <c r="BH62"/>
  <c r="BH63"/>
  <c r="BH64"/>
  <c r="BH65"/>
  <c r="BH66"/>
  <c r="BH68"/>
  <c r="BH71"/>
  <c r="BH72"/>
  <c r="BH73"/>
  <c r="BH75"/>
  <c r="BH76"/>
  <c r="BH77"/>
  <c r="BH82"/>
  <c r="BH83"/>
  <c r="BH84"/>
  <c r="BH85"/>
  <c r="BH86"/>
  <c r="BH87"/>
  <c r="BH88"/>
  <c r="BH89"/>
  <c r="BH90"/>
  <c r="BH91"/>
  <c r="BH94"/>
  <c r="BH95"/>
  <c r="BH96"/>
  <c r="BH97"/>
  <c r="BH98"/>
  <c r="BH99"/>
  <c r="BH100"/>
  <c r="BH101"/>
  <c r="BH102"/>
  <c r="BH103"/>
  <c r="BH104"/>
  <c r="BH105"/>
  <c r="BH106"/>
  <c r="BH107"/>
  <c r="BH108"/>
  <c r="BH109"/>
  <c r="BH110"/>
  <c r="BH111"/>
  <c r="BH112"/>
  <c r="BH113"/>
  <c r="BH114"/>
  <c r="BH115"/>
  <c r="BH116"/>
  <c r="BH117"/>
  <c r="BH118"/>
  <c r="BH119"/>
  <c r="BH120"/>
  <c r="BH121"/>
  <c r="BH122"/>
  <c r="BH125"/>
  <c r="BH126"/>
  <c r="BH128"/>
  <c r="BH129"/>
  <c r="BH130"/>
  <c r="BH131"/>
  <c r="BH132"/>
  <c r="BH133"/>
  <c r="BH134"/>
  <c r="BH135"/>
  <c r="BH136"/>
  <c r="BH137"/>
  <c r="BH138"/>
  <c r="BH139"/>
  <c r="BH140"/>
  <c r="BH141"/>
  <c r="BH142"/>
  <c r="BH143"/>
  <c r="BH144"/>
  <c r="BH145"/>
  <c r="BH146"/>
  <c r="BH147"/>
  <c r="BH150"/>
  <c r="P2"/>
  <c r="J2"/>
  <c r="BD2"/>
  <c r="H45"/>
  <c r="J43"/>
  <c r="J3"/>
  <c r="J150"/>
  <c r="L150"/>
  <c r="BD150"/>
  <c r="J29"/>
  <c r="J30"/>
  <c r="J31"/>
  <c r="J32"/>
  <c r="J33"/>
  <c r="J34"/>
  <c r="J35"/>
  <c r="J36"/>
  <c r="J37"/>
  <c r="J38"/>
  <c r="J39"/>
  <c r="J40"/>
  <c r="J41"/>
  <c r="J44"/>
  <c r="J45"/>
  <c r="J46"/>
  <c r="J47"/>
  <c r="J48"/>
  <c r="J49"/>
  <c r="J50"/>
  <c r="J51"/>
  <c r="J52"/>
  <c r="J53"/>
  <c r="J54"/>
  <c r="J55"/>
  <c r="J56"/>
  <c r="J57"/>
  <c r="J58"/>
  <c r="J59"/>
  <c r="J60"/>
  <c r="J61"/>
  <c r="J62"/>
  <c r="J63"/>
  <c r="J64"/>
  <c r="J65"/>
  <c r="J66"/>
  <c r="J68"/>
  <c r="J71"/>
  <c r="J72"/>
  <c r="J73"/>
  <c r="J75"/>
  <c r="J76"/>
  <c r="J77"/>
  <c r="J82"/>
  <c r="J83"/>
  <c r="J84"/>
  <c r="J85"/>
  <c r="J86"/>
  <c r="J87"/>
  <c r="J88"/>
  <c r="J89"/>
  <c r="J90"/>
  <c r="J91"/>
  <c r="J94"/>
  <c r="J95"/>
  <c r="J96"/>
  <c r="J97"/>
  <c r="J99"/>
  <c r="J100"/>
  <c r="J101"/>
  <c r="J102"/>
  <c r="J103"/>
  <c r="J104"/>
  <c r="J105"/>
  <c r="J106"/>
  <c r="J107"/>
  <c r="J108"/>
  <c r="J109"/>
  <c r="J110"/>
  <c r="J111"/>
  <c r="J112"/>
  <c r="J113"/>
  <c r="J114"/>
  <c r="J115"/>
  <c r="J116"/>
  <c r="J117"/>
  <c r="J118"/>
  <c r="J119"/>
  <c r="J120"/>
  <c r="J121"/>
  <c r="J122"/>
  <c r="J125"/>
  <c r="J126"/>
  <c r="J140"/>
  <c r="J141"/>
  <c r="J142"/>
  <c r="J143"/>
  <c r="J144"/>
  <c r="J145"/>
  <c r="J146"/>
  <c r="J147"/>
  <c r="J4"/>
  <c r="J5"/>
  <c r="J6"/>
  <c r="J7"/>
  <c r="J8"/>
  <c r="J9"/>
  <c r="J11"/>
  <c r="J12"/>
  <c r="J13"/>
  <c r="J14"/>
  <c r="J15"/>
  <c r="J16"/>
  <c r="J17"/>
  <c r="J18"/>
  <c r="J19"/>
  <c r="J20"/>
  <c r="J21"/>
  <c r="J22"/>
  <c r="J23"/>
  <c r="J24"/>
  <c r="J25"/>
  <c r="J26"/>
  <c r="J27"/>
  <c r="J28"/>
  <c r="L53" i="2"/>
  <c r="I53"/>
  <c r="B53"/>
  <c r="F53" s="1"/>
  <c r="L45"/>
  <c r="L57"/>
  <c r="I45"/>
  <c r="I57"/>
  <c r="B45"/>
  <c r="F45" s="1"/>
  <c r="B57"/>
  <c r="F57" s="1"/>
  <c r="L64"/>
  <c r="I64"/>
  <c r="B64"/>
  <c r="F64" s="1"/>
  <c r="L54"/>
  <c r="I54"/>
  <c r="B54"/>
  <c r="F54" s="1"/>
  <c r="L47"/>
  <c r="I47"/>
  <c r="B47"/>
  <c r="F47" s="1"/>
  <c r="B39"/>
  <c r="B28"/>
  <c r="B27"/>
  <c r="Q2" i="4" l="1"/>
  <c r="R2" s="1"/>
  <c r="S2" s="1"/>
  <c r="T2" s="1"/>
  <c r="L74" i="2"/>
  <c r="I74"/>
  <c r="B74"/>
  <c r="F74" s="1"/>
  <c r="L95"/>
  <c r="I95"/>
  <c r="B95"/>
  <c r="F95" s="1"/>
  <c r="L91"/>
  <c r="I91"/>
  <c r="B91"/>
  <c r="F91" s="1"/>
  <c r="L94"/>
  <c r="I94"/>
  <c r="B94"/>
  <c r="F94" s="1"/>
  <c r="L96"/>
  <c r="I96"/>
  <c r="B96"/>
  <c r="F96" s="1"/>
  <c r="L88"/>
  <c r="I88"/>
  <c r="B88"/>
  <c r="F88" s="1"/>
  <c r="L23"/>
  <c r="I23"/>
  <c r="B23"/>
  <c r="F23" s="1"/>
  <c r="L9"/>
  <c r="I9"/>
  <c r="B9"/>
  <c r="F9" s="1"/>
  <c r="L93"/>
  <c r="I93"/>
  <c r="B93"/>
  <c r="F93" s="1"/>
  <c r="L87"/>
  <c r="I87"/>
  <c r="B87"/>
  <c r="F87" s="1"/>
  <c r="L81"/>
  <c r="I81"/>
  <c r="B81"/>
  <c r="F81" s="1"/>
  <c r="L79"/>
  <c r="I79"/>
  <c r="B79"/>
  <c r="F79" s="1"/>
  <c r="L78"/>
  <c r="I78"/>
  <c r="B78"/>
  <c r="F78" s="1"/>
  <c r="U2" i="4" l="1"/>
  <c r="V2" s="1"/>
  <c r="W2" s="1"/>
  <c r="L77" i="2"/>
  <c r="I77"/>
  <c r="B77"/>
  <c r="F77" s="1"/>
  <c r="L90"/>
  <c r="I90"/>
  <c r="B90"/>
  <c r="F90" s="1"/>
  <c r="L75"/>
  <c r="I75"/>
  <c r="B75"/>
  <c r="F75" s="1"/>
  <c r="X2" i="4" l="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L76" i="2"/>
  <c r="I76"/>
  <c r="B76"/>
  <c r="F76" s="1"/>
  <c r="L70"/>
  <c r="I70"/>
  <c r="B70"/>
  <c r="F70" s="1"/>
  <c r="L59"/>
  <c r="I59"/>
  <c r="B59"/>
  <c r="F59" s="1"/>
  <c r="L67"/>
  <c r="I67"/>
  <c r="B67"/>
  <c r="F67" s="1"/>
  <c r="L56"/>
  <c r="I56"/>
  <c r="B56"/>
  <c r="F56" s="1"/>
  <c r="L92"/>
  <c r="I92"/>
  <c r="B92"/>
  <c r="F92" s="1"/>
  <c r="L86"/>
  <c r="I86"/>
  <c r="B86"/>
  <c r="F86" s="1"/>
  <c r="L89"/>
  <c r="I89"/>
  <c r="B89"/>
  <c r="F89" s="1"/>
  <c r="L85"/>
  <c r="I85"/>
  <c r="B85"/>
  <c r="F85" s="1"/>
  <c r="L82"/>
  <c r="I82"/>
  <c r="B82"/>
  <c r="F82" s="1"/>
  <c r="L84"/>
  <c r="I84"/>
  <c r="B84"/>
  <c r="F84" s="1"/>
  <c r="BE2" i="4" l="1"/>
  <c r="L68" i="2" l="1"/>
  <c r="I68"/>
  <c r="B68"/>
  <c r="F68" s="1"/>
  <c r="L46" l="1"/>
  <c r="B46"/>
  <c r="F46" s="1"/>
  <c r="I46"/>
  <c r="L48"/>
  <c r="I48"/>
  <c r="L38"/>
  <c r="I38"/>
  <c r="B48"/>
  <c r="F48" s="1"/>
  <c r="B38"/>
  <c r="F38" s="1"/>
  <c r="L80" l="1"/>
  <c r="I80"/>
  <c r="B80"/>
  <c r="F80" s="1"/>
  <c r="L72"/>
  <c r="I72"/>
  <c r="B72"/>
  <c r="F72" s="1"/>
  <c r="L66"/>
  <c r="I66"/>
  <c r="B66"/>
  <c r="F66" s="1"/>
  <c r="B50"/>
  <c r="F50" s="1"/>
  <c r="I50"/>
  <c r="L50"/>
  <c r="L83"/>
  <c r="I83"/>
  <c r="B83"/>
  <c r="F83" s="1"/>
  <c r="L69"/>
  <c r="I69"/>
  <c r="B69"/>
  <c r="F69" s="1"/>
  <c r="L65"/>
  <c r="I65"/>
  <c r="B65"/>
  <c r="F65" s="1"/>
  <c r="L60"/>
  <c r="I60"/>
  <c r="B60"/>
  <c r="F60" s="1"/>
  <c r="L62"/>
  <c r="I62"/>
  <c r="B62"/>
  <c r="F62" s="1"/>
  <c r="L58"/>
  <c r="I58"/>
  <c r="B58"/>
  <c r="F58" s="1"/>
  <c r="L52"/>
  <c r="I52"/>
  <c r="B52"/>
  <c r="F52" s="1"/>
  <c r="L49"/>
  <c r="I49"/>
  <c r="B49"/>
  <c r="F49" s="1"/>
  <c r="L61" l="1"/>
  <c r="I61"/>
  <c r="B61"/>
  <c r="F61" s="1"/>
  <c r="L43"/>
  <c r="I43"/>
  <c r="B43"/>
  <c r="F43" s="1"/>
  <c r="L51"/>
  <c r="I51"/>
  <c r="B51"/>
  <c r="F51" s="1"/>
  <c r="L34"/>
  <c r="L71"/>
  <c r="I71"/>
  <c r="B71"/>
  <c r="F71" s="1"/>
  <c r="B34"/>
  <c r="F34" s="1"/>
  <c r="I34"/>
  <c r="L44"/>
  <c r="I44"/>
  <c r="B44"/>
  <c r="F44" s="1"/>
  <c r="L18"/>
  <c r="L10"/>
  <c r="L32"/>
  <c r="L22"/>
  <c r="L33"/>
  <c r="L7"/>
  <c r="L20"/>
  <c r="L14"/>
  <c r="L30"/>
  <c r="B30"/>
  <c r="F30" s="1"/>
  <c r="I30"/>
  <c r="B32"/>
  <c r="F32" s="1"/>
  <c r="I32"/>
  <c r="B33"/>
  <c r="F33" s="1"/>
  <c r="I33"/>
  <c r="B35"/>
  <c r="L19" l="1"/>
  <c r="I19"/>
  <c r="B19"/>
  <c r="F19" s="1"/>
  <c r="B18"/>
  <c r="F18" s="1"/>
  <c r="I18"/>
  <c r="L29"/>
  <c r="B29"/>
  <c r="F29" s="1"/>
  <c r="I29"/>
  <c r="L6"/>
  <c r="B6"/>
  <c r="F6" s="1"/>
  <c r="I6"/>
  <c r="L24" l="1"/>
  <c r="I24"/>
  <c r="B24"/>
  <c r="F24" s="1"/>
  <c r="L35"/>
  <c r="I35"/>
  <c r="F35"/>
  <c r="I20"/>
  <c r="B20"/>
  <c r="F20" s="1"/>
  <c r="I2"/>
  <c r="I3"/>
  <c r="I4"/>
  <c r="I10"/>
  <c r="I5"/>
  <c r="I11"/>
  <c r="I25"/>
  <c r="I22"/>
  <c r="I7"/>
  <c r="I8"/>
  <c r="I14"/>
  <c r="I15"/>
  <c r="I16"/>
  <c r="I17"/>
  <c r="I21"/>
  <c r="I12"/>
  <c r="I13"/>
  <c r="I36"/>
  <c r="I31"/>
  <c r="I42"/>
  <c r="I55"/>
  <c r="I73"/>
  <c r="I63"/>
  <c r="I26"/>
  <c r="I27"/>
  <c r="I28"/>
  <c r="I39"/>
  <c r="I40"/>
  <c r="I41"/>
  <c r="I37"/>
  <c r="B22"/>
  <c r="F22" s="1"/>
  <c r="L3" l="1"/>
  <c r="L4"/>
  <c r="L5"/>
  <c r="L11"/>
  <c r="L25"/>
  <c r="L8"/>
  <c r="L15"/>
  <c r="L16"/>
  <c r="L17"/>
  <c r="L21"/>
  <c r="L12"/>
  <c r="L13"/>
  <c r="L36"/>
  <c r="L31"/>
  <c r="L42"/>
  <c r="L55"/>
  <c r="L73"/>
  <c r="L63"/>
  <c r="L26"/>
  <c r="L27"/>
  <c r="L28"/>
  <c r="L39"/>
  <c r="L40"/>
  <c r="L41"/>
  <c r="L37"/>
  <c r="L2"/>
  <c r="B3" l="1"/>
  <c r="F3" s="1"/>
  <c r="B4"/>
  <c r="F4" s="1"/>
  <c r="B10"/>
  <c r="F10" s="1"/>
  <c r="B5"/>
  <c r="F5" s="1"/>
  <c r="B11"/>
  <c r="F11" s="1"/>
  <c r="B25"/>
  <c r="F25" s="1"/>
  <c r="B7"/>
  <c r="F7" s="1"/>
  <c r="B8"/>
  <c r="F8" s="1"/>
  <c r="B14"/>
  <c r="F14" s="1"/>
  <c r="B15"/>
  <c r="F15" s="1"/>
  <c r="B16"/>
  <c r="F16" s="1"/>
  <c r="B17"/>
  <c r="F17" s="1"/>
  <c r="B21"/>
  <c r="F21" s="1"/>
  <c r="B12"/>
  <c r="F12" s="1"/>
  <c r="B13"/>
  <c r="F13" s="1"/>
  <c r="B36"/>
  <c r="F36" s="1"/>
  <c r="B31"/>
  <c r="F31" s="1"/>
  <c r="B42"/>
  <c r="F42" s="1"/>
  <c r="B55"/>
  <c r="F55" s="1"/>
  <c r="B73"/>
  <c r="F73" s="1"/>
  <c r="B63"/>
  <c r="F63" s="1"/>
  <c r="B26"/>
  <c r="F26" s="1"/>
  <c r="F27"/>
  <c r="F28"/>
  <c r="F39"/>
  <c r="B40"/>
  <c r="F40" s="1"/>
  <c r="B41"/>
  <c r="F41" s="1"/>
  <c r="B37"/>
  <c r="F37" s="1"/>
  <c r="B2"/>
  <c r="F2" s="1"/>
  <c r="H151" i="4"/>
  <c r="L3"/>
  <c r="BD3"/>
  <c r="L4"/>
  <c r="BD4"/>
  <c r="L5"/>
  <c r="BD5"/>
  <c r="L6"/>
  <c r="BD6"/>
  <c r="L7"/>
  <c r="BD7"/>
  <c r="L8"/>
  <c r="BD8"/>
  <c r="L9"/>
  <c r="BD9"/>
  <c r="L11"/>
  <c r="BD11"/>
  <c r="L12"/>
  <c r="BD12"/>
  <c r="L13"/>
  <c r="BD13"/>
  <c r="L14"/>
  <c r="BD14"/>
  <c r="L15"/>
  <c r="BD15"/>
  <c r="L16"/>
  <c r="BD16"/>
  <c r="L17"/>
  <c r="BD17"/>
  <c r="L18"/>
  <c r="BD18"/>
  <c r="L19"/>
  <c r="BD19"/>
  <c r="L20"/>
  <c r="BD20"/>
  <c r="L21"/>
  <c r="BD21"/>
  <c r="L22"/>
  <c r="BD22"/>
  <c r="L23"/>
  <c r="BD23"/>
  <c r="L24"/>
  <c r="BD24"/>
  <c r="L25"/>
  <c r="BD25"/>
  <c r="L26"/>
  <c r="BD26"/>
  <c r="L27"/>
  <c r="BD27"/>
  <c r="L28"/>
  <c r="BD28"/>
  <c r="L29"/>
  <c r="BD29"/>
  <c r="L30"/>
  <c r="BD30"/>
  <c r="L31"/>
  <c r="BD31"/>
  <c r="L32"/>
  <c r="BD32"/>
  <c r="L33"/>
  <c r="BD33"/>
  <c r="L34"/>
  <c r="BD34"/>
  <c r="L35"/>
  <c r="BD35"/>
  <c r="L36"/>
  <c r="BD36"/>
  <c r="L37"/>
  <c r="BD37"/>
  <c r="L38"/>
  <c r="BD38"/>
  <c r="L39"/>
  <c r="BD39"/>
  <c r="L40"/>
  <c r="BD40"/>
  <c r="L41"/>
  <c r="BD41"/>
  <c r="L43"/>
  <c r="BD43"/>
  <c r="L44"/>
  <c r="BD44"/>
  <c r="L45"/>
  <c r="BD45"/>
  <c r="L46"/>
  <c r="BD46"/>
  <c r="L47"/>
  <c r="BD47"/>
  <c r="L48"/>
  <c r="BD48"/>
  <c r="L49"/>
  <c r="BD49"/>
  <c r="L50"/>
  <c r="BD50"/>
  <c r="L51"/>
  <c r="BD51"/>
  <c r="L52"/>
  <c r="BD52"/>
  <c r="L53"/>
  <c r="BD53"/>
  <c r="L54"/>
  <c r="BD54"/>
  <c r="L55"/>
  <c r="BD55"/>
  <c r="L56"/>
  <c r="BD56"/>
  <c r="L57"/>
  <c r="BD57"/>
  <c r="L58"/>
  <c r="BD58"/>
  <c r="L59"/>
  <c r="BD59"/>
  <c r="L60"/>
  <c r="BD60"/>
  <c r="L61"/>
  <c r="BD61"/>
  <c r="L62"/>
  <c r="BD62"/>
  <c r="L63"/>
  <c r="BD63"/>
  <c r="L64"/>
  <c r="BD64"/>
  <c r="L65"/>
  <c r="BD65"/>
  <c r="L66"/>
  <c r="BD66"/>
  <c r="L68"/>
  <c r="BD68"/>
  <c r="L71"/>
  <c r="BD71"/>
  <c r="L72"/>
  <c r="BD72"/>
  <c r="L73"/>
  <c r="BD73"/>
  <c r="L75"/>
  <c r="BD75"/>
  <c r="L76"/>
  <c r="BD76"/>
  <c r="L77"/>
  <c r="BD77"/>
  <c r="L82"/>
  <c r="BD82"/>
  <c r="L83"/>
  <c r="BD83"/>
  <c r="L84"/>
  <c r="BD84"/>
  <c r="L85"/>
  <c r="BD85"/>
  <c r="L86"/>
  <c r="BD86"/>
  <c r="L87"/>
  <c r="BD87"/>
  <c r="L88"/>
  <c r="BD88"/>
  <c r="L89"/>
  <c r="BD89"/>
  <c r="L90"/>
  <c r="BD90"/>
  <c r="L91"/>
  <c r="BD91"/>
  <c r="L94"/>
  <c r="BD94"/>
  <c r="L95"/>
  <c r="BD95"/>
  <c r="L96"/>
  <c r="BD96"/>
  <c r="L97"/>
  <c r="BD97"/>
  <c r="L98"/>
  <c r="BD98"/>
  <c r="L99"/>
  <c r="BD99"/>
  <c r="L100"/>
  <c r="BD100"/>
  <c r="L101"/>
  <c r="BD101"/>
  <c r="L102"/>
  <c r="BD102"/>
  <c r="L103"/>
  <c r="BD103"/>
  <c r="L104"/>
  <c r="BD104"/>
  <c r="L105"/>
  <c r="BD105"/>
  <c r="L106"/>
  <c r="BD106"/>
  <c r="L107"/>
  <c r="BD107"/>
  <c r="L108"/>
  <c r="BD108"/>
  <c r="L109"/>
  <c r="BD109"/>
  <c r="L110"/>
  <c r="BD110"/>
  <c r="L111"/>
  <c r="BD111"/>
  <c r="L112"/>
  <c r="BD112"/>
  <c r="L113"/>
  <c r="BD113"/>
  <c r="L114"/>
  <c r="BD114"/>
  <c r="L115"/>
  <c r="BD115"/>
  <c r="L116"/>
  <c r="BD116"/>
  <c r="L117"/>
  <c r="BD117"/>
  <c r="L118"/>
  <c r="BD118"/>
  <c r="L119"/>
  <c r="BD119"/>
  <c r="L120"/>
  <c r="BD120"/>
  <c r="L121"/>
  <c r="BD121"/>
  <c r="L122"/>
  <c r="BD122"/>
  <c r="L125"/>
  <c r="BD125"/>
  <c r="BD126"/>
  <c r="BD128"/>
  <c r="BD129"/>
  <c r="BD130"/>
  <c r="BD131"/>
  <c r="BD132"/>
  <c r="BD133"/>
  <c r="BD134"/>
  <c r="BD135"/>
  <c r="BD136"/>
  <c r="BD137"/>
  <c r="BD138"/>
  <c r="BD139"/>
  <c r="BD140"/>
  <c r="BD141"/>
  <c r="BD142"/>
  <c r="BD143"/>
  <c r="L144"/>
  <c r="BD144"/>
  <c r="L145"/>
  <c r="BD145"/>
  <c r="L146"/>
  <c r="BD146"/>
  <c r="L147"/>
  <c r="BD147"/>
</calcChain>
</file>

<file path=xl/sharedStrings.xml><?xml version="1.0" encoding="utf-8"?>
<sst xmlns="http://schemas.openxmlformats.org/spreadsheetml/2006/main" count="4427" uniqueCount="1909">
  <si>
    <t>Betterave</t>
  </si>
  <si>
    <t>Type semis</t>
  </si>
  <si>
    <t>Direct</t>
  </si>
  <si>
    <t>Qté graine/gramme</t>
  </si>
  <si>
    <t>Famille</t>
  </si>
  <si>
    <t>Chenopodiacée</t>
  </si>
  <si>
    <t>Bonne association</t>
  </si>
  <si>
    <t>Mauvaise association</t>
  </si>
  <si>
    <t>Propriétés</t>
  </si>
  <si>
    <t xml:space="preserve">Prescription </t>
  </si>
  <si>
    <t>Conseillé pour femme enceinte (cuite)</t>
  </si>
  <si>
    <t>Exigence fertilisation</t>
  </si>
  <si>
    <t>Gourmant</t>
  </si>
  <si>
    <t>Date semis</t>
  </si>
  <si>
    <t>Début récolte</t>
  </si>
  <si>
    <t>Fin récolte</t>
  </si>
  <si>
    <t>Qté graine (g)</t>
  </si>
  <si>
    <t>Variété</t>
  </si>
  <si>
    <t>Date plantation</t>
  </si>
  <si>
    <t>L planche (m)</t>
  </si>
  <si>
    <t>Aubergine</t>
  </si>
  <si>
    <t>Solanacée</t>
  </si>
  <si>
    <t>Motte</t>
  </si>
  <si>
    <t>Mai</t>
  </si>
  <si>
    <t>Période Semis</t>
  </si>
  <si>
    <t>Période Plantation</t>
  </si>
  <si>
    <t>mars</t>
  </si>
  <si>
    <t>Qté Plants</t>
  </si>
  <si>
    <t>Avril-juin</t>
  </si>
  <si>
    <t>NA</t>
  </si>
  <si>
    <t>Tps motte</t>
  </si>
  <si>
    <t>Tps croissance</t>
  </si>
  <si>
    <t>botte</t>
  </si>
  <si>
    <t>kg</t>
  </si>
  <si>
    <t>Nom planche</t>
  </si>
  <si>
    <t>Légumes</t>
  </si>
  <si>
    <t>Moyen</t>
  </si>
  <si>
    <t>Basilic</t>
  </si>
  <si>
    <t>Important</t>
  </si>
  <si>
    <t>A l'abris</t>
  </si>
  <si>
    <t>Feu</t>
  </si>
  <si>
    <t>Eau</t>
  </si>
  <si>
    <t>Air</t>
  </si>
  <si>
    <t>Terre</t>
  </si>
  <si>
    <t>légé, bien drainé</t>
  </si>
  <si>
    <t>Modéré</t>
  </si>
  <si>
    <t>Lamiacée</t>
  </si>
  <si>
    <t>rue officinale</t>
  </si>
  <si>
    <t>avril-mai</t>
  </si>
  <si>
    <t>mai-juin</t>
  </si>
  <si>
    <t>Format Motte (cm)</t>
  </si>
  <si>
    <t>Légume</t>
  </si>
  <si>
    <t>Blette</t>
  </si>
  <si>
    <t>chenopodiacée</t>
  </si>
  <si>
    <t>Planète Maîtresse</t>
  </si>
  <si>
    <t>Jupiter</t>
  </si>
  <si>
    <t>Catégorie végétale</t>
  </si>
  <si>
    <t>Fruit</t>
  </si>
  <si>
    <t>Racine</t>
  </si>
  <si>
    <t>Feuille</t>
  </si>
  <si>
    <t>Ail, camomille, céleri, chou de Bruxelles, chou-fleur, échalote, laitue, mâche, navet, oignon, radis.</t>
  </si>
  <si>
    <t>Asperge, betterave, carotte, épinard, panais, poireau, pomme de terre, tomate.</t>
  </si>
  <si>
    <t>Parasites</t>
  </si>
  <si>
    <t>Altise, escargot, limace, puceron, taupin</t>
  </si>
  <si>
    <t>Maladie</t>
  </si>
  <si>
    <t>Cercosporiose, fonte des semis, jaunisse, mildiou, rouille</t>
  </si>
  <si>
    <t>Frais et profond</t>
  </si>
  <si>
    <t>Soleil ou mi-ombre</t>
  </si>
  <si>
    <t>Direct ou Motte</t>
  </si>
  <si>
    <t>Mars-Avril</t>
  </si>
  <si>
    <t>Avril-Mai</t>
  </si>
  <si>
    <t>Craint le sec</t>
  </si>
  <si>
    <t>Riche en anti-oxidant, Vitamine A,K, Fer, Mg, Cu, Mng.</t>
  </si>
  <si>
    <t>Moyenne</t>
  </si>
  <si>
    <t>Brocoli</t>
  </si>
  <si>
    <t>Avril-Mai/Août</t>
  </si>
  <si>
    <t>Mars-Avril/Juillet</t>
  </si>
  <si>
    <t>Avril-Juillet</t>
  </si>
  <si>
    <t>Souple, drainée</t>
  </si>
  <si>
    <t>Araignée rouge, doryphore, mouche blanche, puceron</t>
  </si>
  <si>
    <t>Fonte ses semis, mosaïque, mildiou, oïdium, pourriture grise, verticilliose</t>
  </si>
  <si>
    <t>Artichaut, bourrache, estragon, haricot, fève, lavande, œillet d'Inde, persil, pois, radis, souci, tanaisie, thym</t>
  </si>
  <si>
    <t>Ail, ciboule, ciboulette, oignon, piment, pois, poivron, pomme de terre, tomate</t>
  </si>
  <si>
    <t>Mercure</t>
  </si>
  <si>
    <t>Elément maître</t>
  </si>
  <si>
    <t>Vitamine K, Fer</t>
  </si>
  <si>
    <t>Abrité</t>
  </si>
  <si>
    <t>Fonte des semis, fusariose</t>
  </si>
  <si>
    <t>Résistant</t>
  </si>
  <si>
    <t>Tous les légumes et surtout  les concombres, les courgettes et les tomates</t>
  </si>
  <si>
    <t>Mars</t>
  </si>
  <si>
    <t>Planète semis</t>
  </si>
  <si>
    <t>Poisson</t>
  </si>
  <si>
    <t>Bélier-Lion-Sagittaire</t>
  </si>
  <si>
    <t>Rotation</t>
  </si>
  <si>
    <t>3 ans</t>
  </si>
  <si>
    <t>3 ans, jamais après pomme de terre</t>
  </si>
  <si>
    <t>Riche en potassium, sodium, Vitamne A (feuille)</t>
  </si>
  <si>
    <t>Profond, léger, souple, sablonneux</t>
  </si>
  <si>
    <t>Soleil</t>
  </si>
  <si>
    <t>Mineuse de la feuille, mouche, noctuelle, puceron, silphe, tipule</t>
  </si>
  <si>
    <t>Cercosporiose, mildiou, oïdium, rhizomanie, rouille</t>
  </si>
  <si>
    <t>Ail, brocoli, céleri, chou, chou de Bruxelles, chou-fleur, échalote, laitue, oignon, radis</t>
  </si>
  <si>
    <t xml:space="preserve">
Asperge, bette, carotte, épinard, fève, haricot à rames, haricot d'Espagne, maïs, poireau, pomme de terre, tomate</t>
  </si>
  <si>
    <t>Venus</t>
  </si>
  <si>
    <t>Capri-Taureau-Vierge</t>
  </si>
  <si>
    <t>Planète récolte</t>
  </si>
  <si>
    <t>Bélier</t>
  </si>
  <si>
    <t>Lune semis</t>
  </si>
  <si>
    <t>Décroissante</t>
  </si>
  <si>
    <t>Lune Récolte</t>
  </si>
  <si>
    <t>Croissante et montante</t>
  </si>
  <si>
    <t>Lune pincement</t>
  </si>
  <si>
    <t>Descendante et croissante</t>
  </si>
  <si>
    <t>Montante</t>
  </si>
  <si>
    <t>Planète repiquage</t>
  </si>
  <si>
    <t>Lune Repiquage</t>
  </si>
  <si>
    <t>Descendante</t>
  </si>
  <si>
    <t>Cancer, scorpion</t>
  </si>
  <si>
    <t>Bisannuelle</t>
  </si>
  <si>
    <t>Annuelle (pérenne tropicale)</t>
  </si>
  <si>
    <t>Annuelle (vivace tropicale)</t>
  </si>
  <si>
    <t>T° croissance</t>
  </si>
  <si>
    <t>10 °C - NA</t>
  </si>
  <si>
    <t>15-26°C</t>
  </si>
  <si>
    <t>20 - 32 °C</t>
  </si>
  <si>
    <t>5-32 °C /idéal 16-22°C</t>
  </si>
  <si>
    <t>15 - 23 °C</t>
  </si>
  <si>
    <t>Annuelle/Bisannuelle</t>
  </si>
  <si>
    <t>Vitamine C, Ca, Fe, Mg</t>
  </si>
  <si>
    <t>Fleur</t>
  </si>
  <si>
    <t>Profond, frais, drainée</t>
  </si>
  <si>
    <t>Mi-ombre, ensoleillé</t>
  </si>
  <si>
    <t>Altise, noctuelle, piéride, Limaces, punaise, Teigne, mouche,cécidomyie, charançon gallicole</t>
  </si>
  <si>
    <t>Alternariose, hernie du chou et mildiou</t>
  </si>
  <si>
    <t>tomate, mélisse, aneth, Aneth, artichaut, bette, betterave, bourrache, camomille, capucine, carotte, céleri, concombre, cornichon, épinard, fève, haricot nain, hysope, laitue, mâche, menthe, œillet d'Inde, origan, pois, pomme de terre, romarin, sarriette, sauge, souci, thym</t>
  </si>
  <si>
    <t>Ail, brocoli, ciboulette, chou, chou de Bruxelles, échalote, fraisier, navet, oignon, panais, poireau, radis, rutabaga, souci, tomate, vigne.</t>
  </si>
  <si>
    <t xml:space="preserve">3-4 ans. Plutôt après un engrais vert. </t>
  </si>
  <si>
    <t>Forte</t>
  </si>
  <si>
    <t>Lune</t>
  </si>
  <si>
    <t>Croissante et Montante</t>
  </si>
  <si>
    <t>Balance-Gémeau, Verseau</t>
  </si>
  <si>
    <t xml:space="preserve">Croissante  </t>
  </si>
  <si>
    <t>Balance-Belier-Verseau-Gem</t>
  </si>
  <si>
    <t>Très bon anti-oxidant (cardio et cancer)</t>
  </si>
  <si>
    <t>Riche en fibre, Vitamine B1 B6, Ca, Mg, Ph, K, CU</t>
  </si>
  <si>
    <t>Carotte</t>
  </si>
  <si>
    <t>Apiacée</t>
  </si>
  <si>
    <t>Cycle végétatif</t>
  </si>
  <si>
    <t>Mars-juillet</t>
  </si>
  <si>
    <t>10-30°C / Idéal 15-20°C</t>
  </si>
  <si>
    <t>Profond, léger, drainé</t>
  </si>
  <si>
    <t>Faible</t>
  </si>
  <si>
    <t>Mi-ombre, soleil</t>
  </si>
  <si>
    <t>Courtilières, Limaces, Mouches de la Carotte et Psylles.</t>
  </si>
  <si>
    <t>Alternariose, Fonte des Semis et Mildiou.</t>
  </si>
  <si>
    <t>Ail, chou, chou de Bruxelles, chou-fleur, ciboulette, coriandre, échalote, endive, épinard, fève, haricot nain, laitue, œillet d'Inde, oignon, piment, poireau, pois, poivron, radis, romarin, rutabaga, sauge, souci, tomate</t>
  </si>
  <si>
    <t xml:space="preserve">
Aneth, bette, betterave, céleri, cerfeuil, menthe, panais, persil, pomme de terre</t>
  </si>
  <si>
    <t>Saturne</t>
  </si>
  <si>
    <t>Vierge</t>
  </si>
  <si>
    <t>Décroissante et déscendante</t>
  </si>
  <si>
    <t>Décroissante et descendante</t>
  </si>
  <si>
    <t xml:space="preserve">VitamineA,B6,K, E, Anti-oxydant, </t>
  </si>
  <si>
    <t>Chou Cabus</t>
  </si>
  <si>
    <t>Brassicacée</t>
  </si>
  <si>
    <t>Frais drainé, Calcaire, argileux</t>
  </si>
  <si>
    <t>Ensolleillé</t>
  </si>
  <si>
    <t>Juillet-Août</t>
  </si>
  <si>
    <t>Altise, cécidomyie, charançon gallicole, mouche, noctuelle et piéride</t>
  </si>
  <si>
    <t>Aneth, artichaut, bette, betterave, bourrache, camomille, capucine, carotte, céleri, concombre, cornichon, épinard, fève, haricot nain, hysope, laitue, mâche, menthe, œillet d'Inde, origan, pois, pomme de terre, romarin, sarriette, sauge, souci, thym</t>
  </si>
  <si>
    <t>Ail, brocoli, ciboulette, chou, chou de Bruxelles, échalote, fraisier, navet, oignon, panais, poireau, radis, rutabaga, souci, tomate, vigne</t>
  </si>
  <si>
    <t>Cycle de 3-4 ans. Après un légume fruit ou engrais vert et Avt un légume racine</t>
  </si>
  <si>
    <t xml:space="preserve">Eviter une fumure juste avant de planté. Cycle de 4 ans. </t>
  </si>
  <si>
    <t>cancer-poisson-scorption</t>
  </si>
  <si>
    <t>15-23 °C</t>
  </si>
  <si>
    <t>Anti-oxydant, faible calorie,</t>
  </si>
  <si>
    <t>Chou Fleur</t>
  </si>
  <si>
    <t>Vitamine C, Soufre</t>
  </si>
  <si>
    <t>Annuelle</t>
  </si>
  <si>
    <t>Chou Romanesco</t>
  </si>
  <si>
    <t>Cycle de 4-5 ans</t>
  </si>
  <si>
    <t>Chou de Bruxelles</t>
  </si>
  <si>
    <t>juin</t>
  </si>
  <si>
    <t>juillet</t>
  </si>
  <si>
    <t xml:space="preserve">Vitamine C, Fibres, </t>
  </si>
  <si>
    <t>Profond, frais, drainée, sabl.</t>
  </si>
  <si>
    <t>13-30 °C</t>
  </si>
  <si>
    <t>Cycle de 4-5 ans. Pas trop azoté.</t>
  </si>
  <si>
    <t>Fréquent et régulier</t>
  </si>
  <si>
    <t>santé de l'œil</t>
  </si>
  <si>
    <t>maladie neurologique</t>
  </si>
  <si>
    <t>Chou Rave</t>
  </si>
  <si>
    <t>Mars-mai</t>
  </si>
  <si>
    <t>Fevrier-Mars</t>
  </si>
  <si>
    <t>Résistance au Gel</t>
  </si>
  <si>
    <t>Non</t>
  </si>
  <si>
    <t>Annuel</t>
  </si>
  <si>
    <t>Riche, frais, profond</t>
  </si>
  <si>
    <t>Cycle de 4 ans.</t>
  </si>
  <si>
    <t>Vénus</t>
  </si>
  <si>
    <t>Capricorne, Taureau, Vierge</t>
  </si>
  <si>
    <t>Décroissante et Montante</t>
  </si>
  <si>
    <t>Décroissante et Déscendante</t>
  </si>
  <si>
    <t>Vitamine C et Minéraux</t>
  </si>
  <si>
    <t>Concombre</t>
  </si>
  <si>
    <t>Curcubitacée</t>
  </si>
  <si>
    <t>Non (&lt;10 °C)</t>
  </si>
  <si>
    <t>15-35°C (Idéal 20-25°C)</t>
  </si>
  <si>
    <t>Frais, léger, riche, drainé</t>
  </si>
  <si>
    <t>Apport automne + purin d'ortie à la fructification</t>
  </si>
  <si>
    <t>Ensoleillé</t>
  </si>
  <si>
    <t>A l'abris du vent</t>
  </si>
  <si>
    <t>Mai-Juin</t>
  </si>
  <si>
    <t>Vitamine K, Cuivre</t>
  </si>
  <si>
    <t>GàG, régulier et important</t>
  </si>
  <si>
    <t>Araignée rouge, puceron, thrips</t>
  </si>
  <si>
    <t>Anthracnose, cladosporiose, fonte des semis, mildiou, nuile grise, mosaïque, oïdium</t>
  </si>
  <si>
    <t>Ail, aneth, asperge, betterave, brocoli, camomille, carotte, céleri, chou, chou de Bruxelles, chou-fleur, ciboulette, échalote, fève, haricot, laitue, maïs, oignon, pois</t>
  </si>
  <si>
    <t xml:space="preserve">
Cornichon, courge, courgette, melon, menthe, pomme de terre, radis, romarin, sauge, thym, tomate</t>
  </si>
  <si>
    <t>4-5 ans (incluant melon)</t>
  </si>
  <si>
    <t>Bélier, Lion Sagittaire</t>
  </si>
  <si>
    <t>Desendante</t>
  </si>
  <si>
    <t>Croissante et Descendante</t>
  </si>
  <si>
    <t>Belier, Lion Sagit, Gem, Vers</t>
  </si>
  <si>
    <t>Motte ou Direct</t>
  </si>
  <si>
    <t>Courge Potimarron</t>
  </si>
  <si>
    <t xml:space="preserve">Vitamine A, B, C, Ca, Mg, Ph, </t>
  </si>
  <si>
    <t>Profond, Humifère, drainé</t>
  </si>
  <si>
    <t>Juin</t>
  </si>
  <si>
    <t>15-28°C</t>
  </si>
  <si>
    <t>Fréquent</t>
  </si>
  <si>
    <t>Aleurode, araignée rouge et puceron. Les escargots et les limaces principalement pour les jeunes plants</t>
  </si>
  <si>
    <t>Anthracnose (ou nuile rouge), oïdium et pourriture grise</t>
  </si>
  <si>
    <t>Betterave, carotte, fève, haricot, laitue, maïs, menthe, pois, radi</t>
  </si>
  <si>
    <t>Pomme de terre, romarin, sauge, thym</t>
  </si>
  <si>
    <t>Bélier, Lion, Sagittaire</t>
  </si>
  <si>
    <t>Bélier, Lion, Gem, Sagit, Vers</t>
  </si>
  <si>
    <t xml:space="preserve">Abrité </t>
  </si>
  <si>
    <t>Courgette</t>
  </si>
  <si>
    <t>Ca, Mg, K</t>
  </si>
  <si>
    <t>Février-Mai</t>
  </si>
  <si>
    <t>Mars-Juin</t>
  </si>
  <si>
    <t>Important, Apport fumier décomposé à la plantation</t>
  </si>
  <si>
    <t>Fréquent - GaG</t>
  </si>
  <si>
    <t>Araignées rouges, pucerons, tétranyques</t>
  </si>
  <si>
    <t xml:space="preserve">
Fonte des semis, mildiou, mosaïque, nuile grise, oïdium. La maladie la plus fréquente est l'oïdium</t>
  </si>
  <si>
    <t xml:space="preserve">
Basilic, bourrache, capucine, céleri, fève, haricot à rame, maïs, marjolaine, menthe, oignon, pois</t>
  </si>
  <si>
    <t>Brocoli, chou, chou de Bruxelles, chou-fleur, concombre, cornichon, courge, melon, pomme de terre, radis, tomate</t>
  </si>
  <si>
    <t>Cycle de 4 ans. Après légume racine</t>
  </si>
  <si>
    <t>Bélier, Sagittaire</t>
  </si>
  <si>
    <t>Epinard</t>
  </si>
  <si>
    <t>Février-Mars et Août-Sept</t>
  </si>
  <si>
    <t>Avril-juin et Oct-Dec</t>
  </si>
  <si>
    <t>Oui - Petite Gelée</t>
  </si>
  <si>
    <t>Chenopodaciée</t>
  </si>
  <si>
    <t>Frais, humifère, consistant, drainé</t>
  </si>
  <si>
    <t>Moyen, Compost bien mûr</t>
  </si>
  <si>
    <t>Mi-ombre (été), Ensoleillé (hiver)</t>
  </si>
  <si>
    <t>Récup Graine - Méthode</t>
  </si>
  <si>
    <t>Récup Graine - Conservation</t>
  </si>
  <si>
    <t xml:space="preserve">Faire rouler l'aubergine, ouvrir, récupérer les graines, faire sécher sur un sopalin quelques jours. </t>
  </si>
  <si>
    <t>Laisser monter en graine en été et récupérer les graines.</t>
  </si>
  <si>
    <t>4 ans</t>
  </si>
  <si>
    <t>Mouche de la betterave, limace, noctuelle et puceron.</t>
  </si>
  <si>
    <t xml:space="preserve">Fonte des semis et mildiou. </t>
  </si>
  <si>
    <t>Attention Excès Humidité</t>
  </si>
  <si>
    <t>Ail, asperge, aubergine, brocoli, camomille, carotte, céleri, chou, chou de Bruxelles, chou-fleur, concombre, fève, fraisier, haricot, maïs, melon, navet, oignon, poireau, pois, radis, souci</t>
  </si>
  <si>
    <t>Bette, betterave, hysope, laitue, piment, poivron, pomme de terre, tomate et vigne</t>
  </si>
  <si>
    <t>Cycle 3 ans, pas après Concombre</t>
  </si>
  <si>
    <t>Neptune</t>
  </si>
  <si>
    <t>Cancer, Poisson, Scorpion</t>
  </si>
  <si>
    <t>Ts les jours</t>
  </si>
  <si>
    <t>Vitamine A,B9,K - Fe, Mg, Mn,</t>
  </si>
  <si>
    <t>Fenouil</t>
  </si>
  <si>
    <t>Léger et humifère</t>
  </si>
  <si>
    <t>Mars et Août</t>
  </si>
  <si>
    <t>Avril / Sept</t>
  </si>
  <si>
    <t>15-25°C (Idéale 18-22°C)</t>
  </si>
  <si>
    <t>Laisser monter en graine en été</t>
  </si>
  <si>
    <t>Limace, mouche de la carotte, puceron</t>
  </si>
  <si>
    <t>Rouille</t>
  </si>
  <si>
    <t>Doit être éloigné de tous les autres légumes et aromatiques</t>
  </si>
  <si>
    <t>3-4 ans, bien fumée en avance</t>
  </si>
  <si>
    <t>Régulier</t>
  </si>
  <si>
    <t>Hypertension, santé osseus</t>
  </si>
  <si>
    <t>Vitamine C</t>
  </si>
  <si>
    <t>Fabacée</t>
  </si>
  <si>
    <t>réchauffé, ameubli, léger, et humifère</t>
  </si>
  <si>
    <t>Protégé</t>
  </si>
  <si>
    <t>Après légume-fruit ou Chou, mâche</t>
  </si>
  <si>
    <t>16-30°C (Idéale 20-25°C)</t>
  </si>
  <si>
    <t>Haricot</t>
  </si>
  <si>
    <t>Fibres, Fe</t>
  </si>
  <si>
    <t>non&gt;12°C</t>
  </si>
  <si>
    <t>Faible, pas de fumure fraiche</t>
  </si>
  <si>
    <t>Sur fruit mûr</t>
  </si>
  <si>
    <t xml:space="preserve">Moyen, GaG </t>
  </si>
  <si>
    <t>Bruche, escargot, limace, mouche, puceron vert, thrips</t>
  </si>
  <si>
    <t>Anthracnose, fonte des semis, graisse, mildiou, pourriture grise, rouille</t>
  </si>
  <si>
    <t>Bourrache, brocoli, capucine, carotte, céleri, chou, chou de Bruxelles, chou-fleur, concombre, cornichon, courge, courgette, épinard, fraisier, laitue, mâche, maïs (pour les haricots à rames), melon, navet, œillet d'Inde, panais, radis, romarin, rutabaga, sarriette, souci</t>
  </si>
  <si>
    <t>Ail, asperge, aubergine, betterave, ciboulette, échalote, fenouil, oignon, persil, piment, oignon, poireau, pois, poivron, pomme de terre, tomate</t>
  </si>
  <si>
    <t>Mâche</t>
  </si>
  <si>
    <t>vitamines A, C et E et renferme des sels minéraux comme du fe</t>
  </si>
  <si>
    <t>Valérianacées</t>
  </si>
  <si>
    <t>Annuel ou bisannuel</t>
  </si>
  <si>
    <t>Laissé monter en graine au printemps</t>
  </si>
  <si>
    <t>jusque -20°C</t>
  </si>
  <si>
    <t>jusque -7°C</t>
  </si>
  <si>
    <t>Frais, humifère, ferme et drainé</t>
  </si>
  <si>
    <t>Aucune</t>
  </si>
  <si>
    <t>Mi-ombre à ensoleillé</t>
  </si>
  <si>
    <t>Juillet à Septembre</t>
  </si>
  <si>
    <t>Août à Octobre</t>
  </si>
  <si>
    <t>5 ans</t>
  </si>
  <si>
    <t xml:space="preserve">
Résistante. Les escargots et les limaces peuvent attaquer les jeunes pousses</t>
  </si>
  <si>
    <t>Fonte des semis, oïdium, pourriture grise, rouille</t>
  </si>
  <si>
    <t>Bette, céleri, chou, chou de Bruxelles, chou-fleur, fraisier, haricot, laitue, oignon, poireau</t>
  </si>
  <si>
    <t>Il n'y a pas d'incompatibilité avérée</t>
  </si>
  <si>
    <t>Pas de rotation. Culture peu exigente</t>
  </si>
  <si>
    <t>Eviter Poisson et cancer</t>
  </si>
  <si>
    <t>Navet</t>
  </si>
  <si>
    <t>Ca, Fe</t>
  </si>
  <si>
    <t>Oignon</t>
  </si>
  <si>
    <t>Liliacée</t>
  </si>
  <si>
    <t>Pour récupérer les bulbille, semer en avril/mai et récolter en août/Sept, repiquage en février/mars de l'année suivante</t>
  </si>
  <si>
    <t>Vivace cultivée en annuelle</t>
  </si>
  <si>
    <t>Léger, sablonneux et drainé</t>
  </si>
  <si>
    <t>Avril/mai - repiquage fev-mars</t>
  </si>
  <si>
    <t>Juillet/août en frais, Sept pr conserv.</t>
  </si>
  <si>
    <t>Anguillule, mouche de l'oignon, thrips</t>
  </si>
  <si>
    <t>Fonte des semis, fusariose, mildiou, rouille</t>
  </si>
  <si>
    <t>Artichaut, bette, betterave, camomille, carotte, céleri, concombre, cornichon, fraisier, laitue, mâche, navet, panais, persil, radis, sarriette, tomate</t>
  </si>
  <si>
    <t>Ail, asperge, aubergine, brocoli, chou, chou de Bruxelles, chou-fleur, ciboulette, échalote, fève, haricot, piment, poireau, pois, poivron, pomme de terre, sauge, tomate</t>
  </si>
  <si>
    <t>Pas trop d'eau</t>
  </si>
  <si>
    <t>3-4 ans</t>
  </si>
  <si>
    <t>Panais</t>
  </si>
  <si>
    <t>Bis annuel</t>
  </si>
  <si>
    <t>Laisser monté en graine en deuxième année</t>
  </si>
  <si>
    <t>Août-Sept jusque première gelée</t>
  </si>
  <si>
    <t>Léger, frais, profond, drainé</t>
  </si>
  <si>
    <t>3-4 ans, pas de fumure fraiche</t>
  </si>
  <si>
    <t>1 ans</t>
  </si>
  <si>
    <t>Sol Humide</t>
  </si>
  <si>
    <t>Altises, Mouches de la Carotte et Mouches du Chou.</t>
  </si>
  <si>
    <t>Chancre du panais, Mildiou, Oïdium et Rouille</t>
  </si>
  <si>
    <t>Ail, brocoli, chou, chou de Bruxelles, chou-fleur, fève, haricot, navet, oignon, poireau, pois, radis, salsifis, scorsonère</t>
  </si>
  <si>
    <t>Aneth, bette, carotte, céleri, persil</t>
  </si>
  <si>
    <t>Persil</t>
  </si>
  <si>
    <t>frais, profond, drainé: Pas acide</t>
  </si>
  <si>
    <t>Mars-Sept</t>
  </si>
  <si>
    <t>Février-Août</t>
  </si>
  <si>
    <t>Sur plantes montées en graine</t>
  </si>
  <si>
    <t>Limace, mouche de la carotte</t>
  </si>
  <si>
    <t>Mildiou, oïdium et septoriose</t>
  </si>
  <si>
    <t>Asperge, aubergine, maïs, radis, romarin, tomate</t>
  </si>
  <si>
    <t>Artichaut, aneth, carotte, céleri, haricot, laitue, lavande, panais, pois, poireau</t>
  </si>
  <si>
    <t>Cancer et scorpion</t>
  </si>
  <si>
    <t>Bisannuel</t>
  </si>
  <si>
    <t>vitamines C, K et du fer.</t>
  </si>
  <si>
    <t>15-29°C</t>
  </si>
  <si>
    <t>Poivron</t>
  </si>
  <si>
    <t>Sur fruit mûrs</t>
  </si>
  <si>
    <t>17-29°C</t>
  </si>
  <si>
    <t>vitamines A et C, Mg et Fibres</t>
  </si>
  <si>
    <t>Non, dépéris en-dessous de 10°</t>
  </si>
  <si>
    <t>Chaud, drainé, acide</t>
  </si>
  <si>
    <t>Février</t>
  </si>
  <si>
    <t>Aleurode, escargot, limace, puceron</t>
  </si>
  <si>
    <t>Fonte des semis, mildiou, pourriture du collet, pourriture grise</t>
  </si>
  <si>
    <t>Basilic, bourrache, capucine,  carotte, marjolaine, origan</t>
  </si>
  <si>
    <t>Ail, asperge, ciboulette, échalote, épinard, fève, haricot, oignon, piment, poireau, pois, pomme de terre</t>
  </si>
  <si>
    <t>Radis</t>
  </si>
  <si>
    <t>Radis noir</t>
  </si>
  <si>
    <t>Salade</t>
  </si>
  <si>
    <t>Tomate</t>
  </si>
  <si>
    <t>Profond, léger, meuble, frais</t>
  </si>
  <si>
    <t>Sur fleur fânée et séchée</t>
  </si>
  <si>
    <t>Fréquent, terre tjrs humide</t>
  </si>
  <si>
    <t>Altise, charançon gallicole du chou, escargot, limace, mouche du navet</t>
  </si>
  <si>
    <t>Fonte des semis, mildiou</t>
  </si>
  <si>
    <t>Artichaut, bette, betterave, capucine, carotte, céleri, cerfeuil, cresson, endive, épinard, fève, haricot, laitue, melon, menthe, panais, persil, pois, souci, tomate</t>
  </si>
  <si>
    <t>Brocoli, chou, chou de Bruxelles, chou-fleur, concombre, cornichon, courge, courgette, hysope, pomme de terre, rutabaga, vigne</t>
  </si>
  <si>
    <t>Pas besoins de rotation</t>
  </si>
  <si>
    <t>Petite gelée</t>
  </si>
  <si>
    <t>Mars-Mai / Août-Sept</t>
  </si>
  <si>
    <t>Vitamine C, Souffre, Ph, Mg</t>
  </si>
  <si>
    <t>Juillet Août</t>
  </si>
  <si>
    <t>Bélier pr stockage</t>
  </si>
  <si>
    <t>5-28°C (Idéale 7-18°C)</t>
  </si>
  <si>
    <t>15-35°C (Idéale 20-22°C)</t>
  </si>
  <si>
    <t>Sur pied monté en graine</t>
  </si>
  <si>
    <t>Pas besoin de rotation</t>
  </si>
  <si>
    <t>Astéracée</t>
  </si>
  <si>
    <t>Léger, frais, humifère et drainé</t>
  </si>
  <si>
    <t>4-5 ans</t>
  </si>
  <si>
    <t>Escargot, hépiale, limace, noctuelle, puceron</t>
  </si>
  <si>
    <t>Cercosporiose, jaunisse, fonte des semis, mildiou, mosaïque, pourriture du collet</t>
  </si>
  <si>
    <t>Ail, asperge, bette, betterave, carotte, cerfeuil, chou, chou de Bruxelles, chou-fleur, concombre, cornichon, échalote, fève, fraisier, haricot, mâche, melon, navet, oignon, poireau, pois, radis, souci</t>
  </si>
  <si>
    <t>Artichaut, brocoli, céleri, endive, épinard, fenouil, maïs, persil, rue, tournesol</t>
  </si>
  <si>
    <t>Ensoleillé, mi-ombre</t>
  </si>
  <si>
    <t>Février à Août</t>
  </si>
  <si>
    <t>Sur Fruit</t>
  </si>
  <si>
    <t xml:space="preserve">Vitamine C, </t>
  </si>
  <si>
    <t>Frais, ameubli, humifère et drainé</t>
  </si>
  <si>
    <t>Moyenne (purin d'ortie au cours de la saison)</t>
  </si>
  <si>
    <t>Février-Mars</t>
  </si>
  <si>
    <t>Régulier mais peu au départ</t>
  </si>
  <si>
    <t>Venus et Jupiter</t>
  </si>
  <si>
    <t xml:space="preserve">
Courtilière, doryphore, forficule, noctuelle, puceron, taupin, thrips, tuta absoluta (ou mineuse de la tomate)</t>
  </si>
  <si>
    <t xml:space="preserve">
Alternariose, cladosporiose, fonte des semis, mildiou, oïdium, verticiliose</t>
  </si>
  <si>
    <t>basilic, capucine, carotte, échalote, épinard, œillet d'Inde, persil, radis, souci</t>
  </si>
  <si>
    <t>Bette, betterave, chou, concombre, cornichon, courge, haricot, pois, pomme de terre, poireau</t>
  </si>
  <si>
    <t>Pas après les solanacées mais possible après tomate</t>
  </si>
  <si>
    <t>Ail</t>
  </si>
  <si>
    <t>Aliacée</t>
  </si>
  <si>
    <t>Leger, profond, sablonneux</t>
  </si>
  <si>
    <t>ensoleillé</t>
  </si>
  <si>
    <t>octobre</t>
  </si>
  <si>
    <t>Octobre</t>
  </si>
  <si>
    <t>Oui (-15°C)</t>
  </si>
  <si>
    <t>Anguillules, Mouche de l'oignon, teigne du poireau</t>
  </si>
  <si>
    <t>mildiou, Rouille, sclérotiriose</t>
  </si>
  <si>
    <t>Signe terre et feu</t>
  </si>
  <si>
    <t>Fève</t>
  </si>
  <si>
    <t>Sur fruit mûr, une fois que les gousses sont noirs et fripées</t>
  </si>
  <si>
    <t>2 ans</t>
  </si>
  <si>
    <t>profond, frais, humifère</t>
  </si>
  <si>
    <t>faible</t>
  </si>
  <si>
    <t>Octobre-Novembre</t>
  </si>
  <si>
    <t>Oui (jusque -5°)</t>
  </si>
  <si>
    <t>Bélier, lion, sagittaire</t>
  </si>
  <si>
    <t>Asperge, brocoli, chou, chou de Bruxelles, chou-fleur, ciboulette, échalote, fève, haricot nain et à rame, lentille, navet, oignon, piment, poireau, pois, poivron, sauge, souci, tomate*.
*tomate : elle a tendance à empêcher le grossissement des gousses. Par contre, l'ail proche de la tomate éloigne de nombreux insectes.</t>
  </si>
  <si>
    <t xml:space="preserve">Bette, betterave, camomille, carotte, céleri, concombre, cornichon, épinard, fraisier, framboisier, laitue, panais, pissenlit, rosier, rutabaga, sarriette..
</t>
  </si>
  <si>
    <t>Riche en Protéine et en Fibre</t>
  </si>
  <si>
    <t>A mettre à L'abris du vent</t>
  </si>
  <si>
    <t xml:space="preserve">Bruche, puceron noir et sitone.
</t>
  </si>
  <si>
    <t>Anthracnose, fonte des semis et mildiou</t>
  </si>
  <si>
    <t>Ail, asperge, aubergine, betterave, ciboulette, échalote, fenouil, haricot, oignon, piment, poireau, pois, poivron, pomme de terre, raifort.</t>
  </si>
  <si>
    <t>Mi-Ombre/ensoleillé</t>
  </si>
  <si>
    <t>Leger, profond, humifère</t>
  </si>
  <si>
    <t>Octobre-Nov</t>
  </si>
  <si>
    <t>Bruche, cécidomyie, escargot, limace, puceron, thrips, tordeuse du pois</t>
  </si>
  <si>
    <t>Anthracnose, fonte des semis, fusariose, mildiou, oïdium, rouille</t>
  </si>
  <si>
    <t>Artichaut, brocoli, carotte, céleri, chou, chou de Bruxelles, chou-fleur, concombre, cornichon, courge, courgette, épinard, laitue, maïs, melon, menthe, navet, panais, radis, rutabaga</t>
  </si>
  <si>
    <t>Ail, asperge, aubergine, ciboulette, échalote, fenouil, fève, fraisier, haricot, oignon, persil, piment, poireau, poivron, pomme de terre, tomate</t>
  </si>
  <si>
    <t>Pomme de Terre</t>
  </si>
  <si>
    <t>Sur terrain - difficile à conserver</t>
  </si>
  <si>
    <t>racine</t>
  </si>
  <si>
    <t>vivace (mais gélif)</t>
  </si>
  <si>
    <t>humifère, profond, drainé (Potassium)</t>
  </si>
  <si>
    <t>avril-juin</t>
  </si>
  <si>
    <t>Altise, courtilière, doryphore, taupin</t>
  </si>
  <si>
    <t>Fusariose, mildiou, rhizoctone noir, rouille</t>
  </si>
  <si>
    <t>Brocoli, capucine, chou, chou de Bruxelles, chou-fleur, coriandre, laitue,  œillet d'Inde, souci, topinambour</t>
  </si>
  <si>
    <t>Aubergine, bette, betterave, carotte, céleri, concombre, cornichon, courge, courgette, échalote, épinard, fève, framboisier, haricot, maïs, melon, navet, oignon, piment, pois, poivron, radis, tomate, tournesol</t>
  </si>
  <si>
    <t>descendante et décroissante</t>
  </si>
  <si>
    <t>Vitamine B1, C, Potassium, fer</t>
  </si>
  <si>
    <t>Melon</t>
  </si>
  <si>
    <t>Dans le fruit</t>
  </si>
  <si>
    <t>Fertile, léger, humifère, humide et drainé</t>
  </si>
  <si>
    <t>Attention, pas trop d'eau</t>
  </si>
  <si>
    <t>Craint vent fort</t>
  </si>
  <si>
    <t>non</t>
  </si>
  <si>
    <t>Plein Soleil</t>
  </si>
  <si>
    <t>Importante (compost mûr à la plantation)</t>
  </si>
  <si>
    <t>Anthracnose, fusariose, mildiou, mosaïque, nuile rouge, oïdium</t>
  </si>
  <si>
    <t>Araignée rouge, limace, puceron, thrips</t>
  </si>
  <si>
    <t>Concombre, cornichon, courge, courgette, pomme de terre, romarin, sauge, thym</t>
  </si>
  <si>
    <t>Épinard, fève, haricot, laitue, maïs, marjolaine, pois, radis, tournesol</t>
  </si>
  <si>
    <t>montante</t>
  </si>
  <si>
    <t>Belier Sagitaire</t>
  </si>
  <si>
    <t>TOTAL</t>
  </si>
  <si>
    <t>Column14</t>
  </si>
  <si>
    <t>Column15</t>
  </si>
  <si>
    <t>Mars2</t>
  </si>
  <si>
    <t>Avril</t>
  </si>
  <si>
    <t>Tps Récole</t>
  </si>
  <si>
    <t>Quantité récolté</t>
  </si>
  <si>
    <t>Culture</t>
  </si>
  <si>
    <t>Espct (cm)</t>
  </si>
  <si>
    <t>Planche A</t>
  </si>
  <si>
    <t>Planche B</t>
  </si>
  <si>
    <t>Planche C</t>
  </si>
  <si>
    <t>Période</t>
  </si>
  <si>
    <t>Culture 1</t>
  </si>
  <si>
    <t>Culture 2</t>
  </si>
  <si>
    <t>Poireau</t>
  </si>
  <si>
    <t>Morgane</t>
  </si>
  <si>
    <t>Aril</t>
  </si>
  <si>
    <t>Lelahel</t>
  </si>
  <si>
    <t>Estrella</t>
  </si>
  <si>
    <t>Viviane</t>
  </si>
  <si>
    <t>Fèves</t>
  </si>
  <si>
    <t>Un passage de BB en décembre</t>
  </si>
  <si>
    <t xml:space="preserve">Buttage en janvier </t>
  </si>
  <si>
    <t>Roma donnée par Dany / Essembio</t>
  </si>
  <si>
    <t>Récupérer sur plant - Année 2015</t>
  </si>
  <si>
    <t>Perso : Anananas/ Dany : Ruffus Carigan Mexican,Rose d'Eauze, Andine Cornu, Copia Oranhe, Grosse serge, Noire de Crimée, Green Zebra/ Béné : Orange Queen, Goldy, Steak, Scabitha</t>
  </si>
  <si>
    <t>Seulement 6 plateaux utilisés</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</si>
  <si>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</si>
  <si>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</si>
  <si>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</si>
  <si>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</si>
  <si>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</si>
  <si>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</si>
  <si>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</si>
  <si>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</si>
  <si>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</si>
  <si>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</si>
  <si>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</si>
  <si>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</si>
  <si>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</si>
  <si>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</si>
  <si>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</si>
  <si>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</si>
  <si>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</si>
  <si>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</si>
  <si>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</si>
  <si>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</si>
  <si>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</si>
  <si>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</si>
  <si>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</si>
  <si>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</si>
  <si>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</si>
  <si>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</si>
  <si>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</si>
  <si>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</si>
  <si>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</si>
  <si>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</si>
  <si>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</si>
  <si>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</si>
  <si>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</si>
  <si>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</si>
  <si>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</si>
  <si>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</si>
  <si>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</si>
  <si>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</si>
  <si>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</si>
  <si>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Agadluce</t>
  </si>
  <si>
    <t>Nb de lignes/pl.</t>
  </si>
  <si>
    <t>Remarque</t>
  </si>
  <si>
    <t xml:space="preserve">Planche A1 et A2,A4 graine essembio, planche A3 Voltz. Planche A3 semée une semaine plus tard en jour fleur. </t>
  </si>
  <si>
    <t>Nov./Mai</t>
  </si>
  <si>
    <t>Nov./juin</t>
  </si>
  <si>
    <t>Blanc</t>
  </si>
  <si>
    <t>Epinard 1</t>
  </si>
  <si>
    <t>Epinard 2</t>
  </si>
  <si>
    <t>mesclun 1</t>
  </si>
  <si>
    <t>Productivité/m²</t>
  </si>
  <si>
    <t>Prévis. Quantité</t>
  </si>
  <si>
    <t>Surface (m²)</t>
  </si>
  <si>
    <t>Unité</t>
  </si>
  <si>
    <t>unité</t>
  </si>
  <si>
    <t>mâche 1</t>
  </si>
  <si>
    <t>Salade 2</t>
  </si>
  <si>
    <t>Fenouil 1</t>
  </si>
  <si>
    <t>Carotte 1</t>
  </si>
  <si>
    <t>Chou Rave 1</t>
  </si>
  <si>
    <t>Chou Chinois 1</t>
  </si>
  <si>
    <t>Blette 1</t>
  </si>
  <si>
    <t>Persil 1</t>
  </si>
  <si>
    <t>Betterave 1</t>
  </si>
  <si>
    <t>bouq.</t>
  </si>
  <si>
    <t>Qté plants/m²</t>
  </si>
  <si>
    <t>Nb de plants</t>
  </si>
  <si>
    <t>Navet 1</t>
  </si>
  <si>
    <t>Red Meat 1</t>
  </si>
  <si>
    <t>Mesclun 2</t>
  </si>
  <si>
    <t>Mesclun 1</t>
  </si>
  <si>
    <t>Mâche 2</t>
  </si>
  <si>
    <t>Mesclun 3</t>
  </si>
  <si>
    <t>PDT</t>
  </si>
  <si>
    <t>Potimarron</t>
  </si>
  <si>
    <t>Courgette 1</t>
  </si>
  <si>
    <t>Courgette 2</t>
  </si>
  <si>
    <t>Courgette 3</t>
  </si>
  <si>
    <t>Courgette 4</t>
  </si>
  <si>
    <t>Juin-Oct</t>
  </si>
  <si>
    <t>Mars-juin</t>
  </si>
  <si>
    <t>Juin-Oct.</t>
  </si>
  <si>
    <t>Mai-Sept</t>
  </si>
  <si>
    <t>Tomate C</t>
  </si>
  <si>
    <t>Tomate Ronde</t>
  </si>
  <si>
    <t>Tomates A</t>
  </si>
  <si>
    <t>Tomate A</t>
  </si>
  <si>
    <t>Tomate Roma</t>
  </si>
  <si>
    <t>Oignon rouge</t>
  </si>
  <si>
    <t>Pt Pois</t>
  </si>
  <si>
    <t>Fev-Mai</t>
  </si>
  <si>
    <t>Chou Chinois</t>
  </si>
  <si>
    <t>Cébette/sal. 1</t>
  </si>
  <si>
    <t>panais</t>
  </si>
  <si>
    <t>HV3</t>
  </si>
  <si>
    <t>Juin-Août</t>
  </si>
  <si>
    <t>Oignon Cébette 1</t>
  </si>
  <si>
    <t>Salade 1 (+Fen&amp;Céb)</t>
  </si>
  <si>
    <t>oignon Jaune&amp;Rouge</t>
  </si>
  <si>
    <t>Oignon Cébette 2</t>
  </si>
  <si>
    <t>Salade 3 (+panais&amp;Cébette)</t>
  </si>
  <si>
    <t>Fenouil/Sal. 1</t>
  </si>
  <si>
    <t>Salade 3/Cébette</t>
  </si>
  <si>
    <t>Panais/Sal. 3</t>
  </si>
  <si>
    <t>Salade 4</t>
  </si>
  <si>
    <t>Salade 5</t>
  </si>
  <si>
    <t>Fev./Mai</t>
  </si>
  <si>
    <t>Avril-juillet</t>
  </si>
  <si>
    <t>HV1</t>
  </si>
  <si>
    <t>Fev-Juillet</t>
  </si>
  <si>
    <t>Oignon jaune</t>
  </si>
  <si>
    <t>Fev-Août</t>
  </si>
  <si>
    <t>Fev-juin</t>
  </si>
  <si>
    <t>Carotte1/Radis1</t>
  </si>
  <si>
    <t>Haricot Vert 1</t>
  </si>
  <si>
    <t>Haricot Vert 2</t>
  </si>
  <si>
    <t>Carotte 2</t>
  </si>
  <si>
    <t>Radis 2 (Avec Navet/Red meat)</t>
  </si>
  <si>
    <t>Radis 1 (Avec Carotte 1)</t>
  </si>
  <si>
    <t>Radis 4 (avec Carotte 2)</t>
  </si>
  <si>
    <t>Radis 3</t>
  </si>
  <si>
    <t>Mars-Août</t>
  </si>
  <si>
    <t>Carotte2/Radis4</t>
  </si>
  <si>
    <t>Fev-Juin</t>
  </si>
  <si>
    <t>Fev.-juin</t>
  </si>
  <si>
    <t>Poireau pépi</t>
  </si>
  <si>
    <t xml:space="preserve">poireau  </t>
  </si>
  <si>
    <t>Carotte 4</t>
  </si>
  <si>
    <t>Salade 6</t>
  </si>
  <si>
    <t>Mesclun 4</t>
  </si>
  <si>
    <t>Salade 7</t>
  </si>
  <si>
    <t>Carotte 5</t>
  </si>
  <si>
    <t>juin-Oct.</t>
  </si>
  <si>
    <t>HV 4</t>
  </si>
  <si>
    <t>Juin-Sept</t>
  </si>
  <si>
    <t>HV 5</t>
  </si>
  <si>
    <t>Juillet-Sept.</t>
  </si>
  <si>
    <t>Avril-juil.</t>
  </si>
  <si>
    <t>Juil.-Nov</t>
  </si>
  <si>
    <t>Betterave 2</t>
  </si>
  <si>
    <t>Betterave 3</t>
  </si>
  <si>
    <t>Salade 8</t>
  </si>
  <si>
    <t>Mai-juil.</t>
  </si>
  <si>
    <t>Mai-Juil</t>
  </si>
  <si>
    <t>Salade 9</t>
  </si>
  <si>
    <t>Salade 10</t>
  </si>
  <si>
    <t>Haricot Vert 3</t>
  </si>
  <si>
    <t>Haricot Vert 4</t>
  </si>
  <si>
    <t>Haricot Vert 5</t>
  </si>
  <si>
    <t>HV6</t>
  </si>
  <si>
    <t>juin-Août</t>
  </si>
  <si>
    <t>Août-Nov</t>
  </si>
  <si>
    <t>Culture 3</t>
  </si>
  <si>
    <t>Fev-Sept.</t>
  </si>
  <si>
    <t>Salade 11</t>
  </si>
  <si>
    <t>Salade 12</t>
  </si>
  <si>
    <t>Salade 13</t>
  </si>
  <si>
    <t>Haricot Vert 6</t>
  </si>
  <si>
    <t>Maïs</t>
  </si>
  <si>
    <t>Juillet-Sept</t>
  </si>
  <si>
    <t>Juillet-Oct.</t>
  </si>
  <si>
    <t>Betterave 4</t>
  </si>
  <si>
    <t>Juin-Sept.</t>
  </si>
  <si>
    <t>Chicorée</t>
  </si>
  <si>
    <t>Navet 2</t>
  </si>
  <si>
    <t>Betterave 5</t>
  </si>
  <si>
    <t>Juillet-Oct</t>
  </si>
  <si>
    <t>Navet 3</t>
  </si>
  <si>
    <t>Blette 2</t>
  </si>
  <si>
    <t>Salade 14</t>
  </si>
  <si>
    <t>Salade 15</t>
  </si>
  <si>
    <t>Mesclun 5</t>
  </si>
  <si>
    <t>Mesclun 6</t>
  </si>
  <si>
    <t>Sept-Dec</t>
  </si>
  <si>
    <t>Persil 2</t>
  </si>
  <si>
    <t>Chou Rave/Persil 1</t>
  </si>
  <si>
    <t>Persil 3</t>
  </si>
  <si>
    <t>Fenouil 2</t>
  </si>
  <si>
    <t>Chou Rave 2</t>
  </si>
  <si>
    <t>Carotte 3 (+pépi poireau)</t>
  </si>
  <si>
    <t>Red Meat 1/Radis 2</t>
  </si>
  <si>
    <t>Navet 1/Radis 2</t>
  </si>
  <si>
    <t>Red Meat 2</t>
  </si>
  <si>
    <t>Chou Chinois 2</t>
  </si>
  <si>
    <t>Chou de Milan</t>
  </si>
  <si>
    <t>Mesclun 7</t>
  </si>
  <si>
    <t>Radis Noir 2</t>
  </si>
  <si>
    <t>Mâche 1</t>
  </si>
  <si>
    <t>mâche 2</t>
  </si>
  <si>
    <t>mâche 3</t>
  </si>
  <si>
    <t>mâche 4</t>
  </si>
  <si>
    <t>Epinard 3</t>
  </si>
  <si>
    <t>Epinard 4</t>
  </si>
  <si>
    <t>Red Meat 3</t>
  </si>
  <si>
    <t>Radis Noir 1</t>
  </si>
  <si>
    <t>Chicorée 1</t>
  </si>
  <si>
    <t>Chicorée 2</t>
  </si>
  <si>
    <t>Tomates Cerise</t>
  </si>
  <si>
    <t>Tomates Anciennes</t>
  </si>
  <si>
    <t>Tomate Rondes</t>
  </si>
  <si>
    <t>Tomates Anciennes 2</t>
  </si>
  <si>
    <t>Tomate Rondes 2</t>
  </si>
  <si>
    <t>Concombre 2</t>
  </si>
  <si>
    <t>Concombre 1</t>
  </si>
  <si>
    <t>Mai-Août</t>
  </si>
  <si>
    <t>Mai-Oct.</t>
  </si>
  <si>
    <t>juin-Sept.</t>
  </si>
  <si>
    <t>Rouge de florence/cénol</t>
  </si>
  <si>
    <t>Amposta/ ishikura Long White</t>
  </si>
  <si>
    <t>Cébette 1</t>
  </si>
  <si>
    <t xml:space="preserve">Preludio </t>
  </si>
  <si>
    <t>Duplex/Vit</t>
  </si>
  <si>
    <t>Matador/PalcoF1/Géant d'hiver</t>
  </si>
  <si>
    <t>Merveille de Kelvedon</t>
  </si>
  <si>
    <t>Mixte Salade/Epinard/Betterave</t>
  </si>
  <si>
    <t>Salade 1</t>
  </si>
  <si>
    <t>Till</t>
  </si>
  <si>
    <t>Salade 1-bis</t>
  </si>
  <si>
    <t>Carmen</t>
  </si>
  <si>
    <t>Salade 1-ter</t>
  </si>
  <si>
    <t>Rougette/Escale</t>
  </si>
  <si>
    <t>Vit</t>
  </si>
  <si>
    <t>Persil Commun</t>
  </si>
  <si>
    <t>Jaune boule d'or</t>
  </si>
  <si>
    <t>Radis Red meat</t>
  </si>
  <si>
    <t>Red meat</t>
  </si>
  <si>
    <t>Blanc/rouge/jaune</t>
  </si>
  <si>
    <t>Cébette 2</t>
  </si>
  <si>
    <t>Detroit 2</t>
  </si>
  <si>
    <t>Mixte Salade/Epinard/Betterave/Mizu/Mout.</t>
  </si>
  <si>
    <t>Verte à Carde Blanche 3</t>
  </si>
  <si>
    <t>Salade 2 bis</t>
  </si>
  <si>
    <t>Cressonette marocaine</t>
  </si>
  <si>
    <t>Viviane A1-A2-A3-A4</t>
  </si>
  <si>
    <t>Viviane A5-A6-A7-A8</t>
  </si>
  <si>
    <t>Aril C1-C2-C3-C4</t>
  </si>
  <si>
    <t>Lelahel A1-A2-A3-A4-A5</t>
  </si>
  <si>
    <t>Aril A1-B1</t>
  </si>
  <si>
    <t>Lelahel C1-C2-C3-C4-C5-C6</t>
  </si>
  <si>
    <t>Lelahel C7-C8</t>
  </si>
  <si>
    <t>Touchon/Napoli F1</t>
  </si>
  <si>
    <t>Radis 1</t>
  </si>
  <si>
    <t>Géant d'Italie</t>
  </si>
  <si>
    <t>Oignon Jaune</t>
  </si>
  <si>
    <t>Aril A2-B2</t>
  </si>
  <si>
    <t>Tomate Cerise</t>
  </si>
  <si>
    <t>Black Cherry</t>
  </si>
  <si>
    <t>Merveille des marchés</t>
  </si>
  <si>
    <t>Ananas/CdeB/Russe/Green Zebra</t>
  </si>
  <si>
    <t>Salade 3</t>
  </si>
  <si>
    <t>Salade 3 bis</t>
  </si>
  <si>
    <t>Salade 3 Ter</t>
  </si>
  <si>
    <t>Lelahel B5-B6</t>
  </si>
  <si>
    <t>Estrella B7-B8</t>
  </si>
  <si>
    <t>Estrella B6-B7</t>
  </si>
  <si>
    <t>viviane B5-B6</t>
  </si>
  <si>
    <t>lelahel A8</t>
  </si>
  <si>
    <t>Radis 2</t>
  </si>
  <si>
    <t>Estrella C6-C7-C8</t>
  </si>
  <si>
    <t>Mars-Mai</t>
  </si>
  <si>
    <t>lelahel B1-B2</t>
  </si>
  <si>
    <t>Salade 4 bis</t>
  </si>
  <si>
    <t>Pak Choi</t>
  </si>
  <si>
    <t>Kaboko F1</t>
  </si>
  <si>
    <t>Morgane A8-B8-C8</t>
  </si>
  <si>
    <t>Morgane A7-B6-B7-C6-C7/Estrel. C5</t>
  </si>
  <si>
    <t>Morgane A6</t>
  </si>
  <si>
    <t>Lelahel A6-A7</t>
  </si>
  <si>
    <t>Estrella B5-B6</t>
  </si>
  <si>
    <t xml:space="preserve">Lelahel A6 </t>
  </si>
  <si>
    <t>Estrella B7-B8/Lelahel B7-B8</t>
  </si>
  <si>
    <t>Storina</t>
  </si>
  <si>
    <t>Delikatess Blanc</t>
  </si>
  <si>
    <t>Turga</t>
  </si>
  <si>
    <t>Lelahel B3-B4</t>
  </si>
  <si>
    <t>Viviane B7-B8</t>
  </si>
  <si>
    <t>Géant de Sicile</t>
  </si>
  <si>
    <t>Viviane B1-B2</t>
  </si>
  <si>
    <t xml:space="preserve">Maxim </t>
  </si>
  <si>
    <t>Plants Felix</t>
  </si>
  <si>
    <t>viviane B3-B4</t>
  </si>
  <si>
    <t>Radis 4</t>
  </si>
  <si>
    <t>Grandy</t>
  </si>
  <si>
    <t xml:space="preserve">Estrella B5 </t>
  </si>
  <si>
    <t>Estrella C1</t>
  </si>
  <si>
    <t>Courgette 1 bis</t>
  </si>
  <si>
    <t>Cassiope F1</t>
  </si>
  <si>
    <t>Parador F1</t>
  </si>
  <si>
    <t>S13</t>
  </si>
  <si>
    <t>Estrella C2</t>
  </si>
  <si>
    <t>Estrella A1</t>
  </si>
  <si>
    <t>Viviane A2-B2</t>
  </si>
  <si>
    <t>Viviane B2-C2</t>
  </si>
  <si>
    <t>Tomate Ancienne 2</t>
  </si>
  <si>
    <t>Tomate Ronde 2</t>
  </si>
  <si>
    <t>Ananas/CdB</t>
  </si>
  <si>
    <t>Roma</t>
  </si>
  <si>
    <t>Salade 5-bis</t>
  </si>
  <si>
    <t>avril-juillet</t>
  </si>
  <si>
    <t>PdT 1</t>
  </si>
  <si>
    <t>Ditta</t>
  </si>
  <si>
    <t>Kuroda</t>
  </si>
  <si>
    <t>Courgette 2-Bis</t>
  </si>
  <si>
    <t>PdT1-bis</t>
  </si>
  <si>
    <t>Blanche d'Egypyte</t>
  </si>
  <si>
    <t>Marketmore</t>
  </si>
  <si>
    <t>Salade 6-bis</t>
  </si>
  <si>
    <t>Carotte 3</t>
  </si>
  <si>
    <t>Napoli/Touchon</t>
  </si>
  <si>
    <t>Estrella A6</t>
  </si>
  <si>
    <t>Estrella B1-B2</t>
  </si>
  <si>
    <t>Estrella B2</t>
  </si>
  <si>
    <t>Viviane C1-C2-C3-C4</t>
  </si>
  <si>
    <t>Viviane C5-C6-C7-C8</t>
  </si>
  <si>
    <t>Estrella A2</t>
  </si>
  <si>
    <t>Morgane A1-B1-B1</t>
  </si>
  <si>
    <t>Morg. A5-B5-C5/Aril A8-B8</t>
  </si>
  <si>
    <t>Morg. A3-B3-C3/Aril A4-B4 A6-B6</t>
  </si>
  <si>
    <t>Morg. A1-B1-B1/A3-B3-C3/A5-B5-C5</t>
  </si>
  <si>
    <t>Morgane A4-B4</t>
  </si>
  <si>
    <t>Morgane B4</t>
  </si>
  <si>
    <t>Estrella A7</t>
  </si>
  <si>
    <t>HV 1</t>
  </si>
  <si>
    <t>Cupidon</t>
  </si>
  <si>
    <t>Melon/courge</t>
  </si>
  <si>
    <t>Estrella C3-C4</t>
  </si>
  <si>
    <t>Touchon/jaune du doubs</t>
  </si>
  <si>
    <t>Potimmaron</t>
  </si>
  <si>
    <t>Courgette 3 bis</t>
  </si>
  <si>
    <t>Charentais</t>
  </si>
  <si>
    <t>HV 2</t>
  </si>
  <si>
    <t>Estrella A3</t>
  </si>
  <si>
    <t>Estrella B3-B4</t>
  </si>
  <si>
    <t>Aril C5-C6-C7-C8</t>
  </si>
  <si>
    <t>Aril A7-B7</t>
  </si>
  <si>
    <t>Lelahel A7-A8</t>
  </si>
  <si>
    <t>Estrella C5</t>
  </si>
  <si>
    <t>Touchon</t>
  </si>
  <si>
    <t>Viviane B1-B2-B3-B4</t>
  </si>
  <si>
    <t xml:space="preserve">Estrella B3 </t>
  </si>
  <si>
    <t>Mixte Salade/Betterave/Mizu</t>
  </si>
  <si>
    <t>PdT 2</t>
  </si>
  <si>
    <t>Estrella A4</t>
  </si>
  <si>
    <t>Morgane C4</t>
  </si>
  <si>
    <t>Morgane C4 - Aril A5-B5</t>
  </si>
  <si>
    <t>Carotte 6</t>
  </si>
  <si>
    <t>Morgane A7-B7-C7</t>
  </si>
  <si>
    <t xml:space="preserve">Estrella C6 </t>
  </si>
  <si>
    <t>Maïs Doux</t>
  </si>
  <si>
    <t>Viviane B1</t>
  </si>
  <si>
    <t>Carotte 7</t>
  </si>
  <si>
    <t>Viviane B2</t>
  </si>
  <si>
    <t>Estrella C7</t>
  </si>
  <si>
    <t>Courgette 4 bis</t>
  </si>
  <si>
    <t>Mixte Salade/Mizu/moutarde</t>
  </si>
  <si>
    <t>Estrella A5</t>
  </si>
  <si>
    <t>Prix de vente Moy.</t>
  </si>
  <si>
    <t>Rendement</t>
  </si>
  <si>
    <t>Surface cultivée (m²)</t>
  </si>
  <si>
    <t>Viviane A4</t>
  </si>
  <si>
    <t>Morgane A6-B6</t>
  </si>
  <si>
    <t>Morgane B6-C6</t>
  </si>
  <si>
    <t>Lelahel A6/Viviane B6-B7</t>
  </si>
  <si>
    <t>Aril A2-B2/ Viviane B5-B6</t>
  </si>
  <si>
    <t>Salade 10-Bis</t>
  </si>
  <si>
    <t>HV7</t>
  </si>
  <si>
    <t>Lelahel C8</t>
  </si>
  <si>
    <t>Estrella C3-C4/Viviane B3-B4</t>
  </si>
  <si>
    <t>Estrella C7-C8</t>
  </si>
  <si>
    <t>Viviane A8</t>
  </si>
  <si>
    <t>Maïs Doux 3</t>
  </si>
  <si>
    <t xml:space="preserve">Viviane A1-A2-A3 </t>
  </si>
  <si>
    <t>Carotte 8</t>
  </si>
  <si>
    <t>Touchon/Jaune du Doubs</t>
  </si>
  <si>
    <t>Viviane A7</t>
  </si>
  <si>
    <t>Maïs Doux 2</t>
  </si>
  <si>
    <t>Courgette 5</t>
  </si>
  <si>
    <t>Courgette 5 bis</t>
  </si>
  <si>
    <t>Odysesus&amp;Tamarino</t>
  </si>
  <si>
    <t>Mixte Salade</t>
  </si>
  <si>
    <t>Rondo F1</t>
  </si>
  <si>
    <t>Maïs 1</t>
  </si>
  <si>
    <t>Salade/pak choi</t>
  </si>
  <si>
    <t>Betterave 3/Persil/Mizu</t>
  </si>
  <si>
    <t>Maïs 2</t>
  </si>
  <si>
    <t>Maïs 3</t>
  </si>
  <si>
    <t>Estrella C1-C2/Viviane B5-B6-B7-B8</t>
  </si>
  <si>
    <t xml:space="preserve">Viviane A5 </t>
  </si>
  <si>
    <t>HV8</t>
  </si>
  <si>
    <t>Viviane A6</t>
  </si>
  <si>
    <t>Virtus</t>
  </si>
  <si>
    <t>Didier</t>
  </si>
  <si>
    <t>Carmen/Didier</t>
  </si>
  <si>
    <t>Mesclun 10</t>
  </si>
  <si>
    <t>Aril A3-B3-C5</t>
  </si>
  <si>
    <t xml:space="preserve">Lelahel A1 </t>
  </si>
  <si>
    <t>Mesclun 8/9</t>
  </si>
  <si>
    <t xml:space="preserve">Lelahel A1-A2 </t>
  </si>
  <si>
    <t>HV 9</t>
  </si>
  <si>
    <t>Mesclun 11</t>
  </si>
  <si>
    <t>Mixte Salade/mizu/roquette/pak choi</t>
  </si>
  <si>
    <t>Estrella B8</t>
  </si>
  <si>
    <t>Pain de sucre</t>
  </si>
  <si>
    <t>estrella B8/lelahel B8</t>
  </si>
  <si>
    <t>lelahel A4-A2</t>
  </si>
  <si>
    <t>lelahel A4-A5</t>
  </si>
  <si>
    <t>Chou Chinois 3</t>
  </si>
  <si>
    <t>mesclun 12</t>
  </si>
  <si>
    <t>pain de sucre 2</t>
  </si>
  <si>
    <t>virtus</t>
  </si>
  <si>
    <t>Persil 3/4</t>
  </si>
  <si>
    <t>Pak choi 2</t>
  </si>
  <si>
    <t>HV</t>
  </si>
  <si>
    <t>Poir. Pep</t>
  </si>
  <si>
    <t>Mai -juil.</t>
  </si>
  <si>
    <t>Juil.-Oct.</t>
  </si>
  <si>
    <t>Juin-Septembre</t>
  </si>
  <si>
    <t>Salade/mesclun</t>
  </si>
  <si>
    <t>juillet-Sept.</t>
  </si>
  <si>
    <t>Mesclun</t>
  </si>
  <si>
    <t>Mesclun-Mizu</t>
  </si>
  <si>
    <t>Salade  11</t>
  </si>
  <si>
    <t>juillet-Octobre</t>
  </si>
  <si>
    <t>Juillet-Octobre</t>
  </si>
  <si>
    <t>Août-Nov.</t>
  </si>
  <si>
    <t>Avril-août</t>
  </si>
  <si>
    <t>HV4</t>
  </si>
  <si>
    <t>Lelahel B7</t>
  </si>
  <si>
    <t>Mesclun 13</t>
  </si>
  <si>
    <t>Mizu</t>
  </si>
  <si>
    <t>Radis Red Meat</t>
  </si>
  <si>
    <t>Viviane C8</t>
  </si>
  <si>
    <t>Pak choi</t>
  </si>
  <si>
    <t>Mesclun 12</t>
  </si>
  <si>
    <t>Mesclun 14</t>
  </si>
  <si>
    <t>Viviane C6-C7</t>
  </si>
  <si>
    <t>Mâche 3</t>
  </si>
  <si>
    <t>Reine des glace</t>
  </si>
  <si>
    <t>HV5</t>
  </si>
  <si>
    <t>Mâche 4</t>
  </si>
  <si>
    <t>Falco/Verdil</t>
  </si>
  <si>
    <t>Radis Red meat 1</t>
  </si>
  <si>
    <t>Long maraicher</t>
  </si>
  <si>
    <t>Jaune bouel d'or</t>
  </si>
  <si>
    <t>red Meat</t>
  </si>
  <si>
    <t>Estrella A1-A2-A3</t>
  </si>
  <si>
    <t>Mesclun 15</t>
  </si>
  <si>
    <t>Estrella B2-B3</t>
  </si>
  <si>
    <t xml:space="preserve">Lelahel C1 </t>
  </si>
  <si>
    <t>Lelahel C2-C4</t>
  </si>
  <si>
    <t>Estrella A7-A8</t>
  </si>
  <si>
    <t>Navet 4</t>
  </si>
  <si>
    <t>Verdil/Matador</t>
  </si>
  <si>
    <t>Mesclun 16</t>
  </si>
  <si>
    <t>Viviane C3-C6</t>
  </si>
  <si>
    <t>Lealhel C2/estrella B3</t>
  </si>
  <si>
    <t>Mesclun 17</t>
  </si>
  <si>
    <t>Mâche 5</t>
  </si>
  <si>
    <t>Viviane C5-lelahel C5</t>
  </si>
  <si>
    <t>Estrella C3</t>
  </si>
  <si>
    <t>Estrella C4</t>
  </si>
  <si>
    <t>Viviane C7</t>
  </si>
  <si>
    <t>Mesclun 18</t>
  </si>
  <si>
    <t>lelahel C5-C6</t>
  </si>
  <si>
    <t>Estrella B6-C6</t>
  </si>
  <si>
    <t>Mesclun 19</t>
  </si>
  <si>
    <t>Mixte Salade/mizu/roquette</t>
  </si>
  <si>
    <t>Verdil/Falco</t>
  </si>
  <si>
    <t>Estrella B5</t>
  </si>
  <si>
    <t>Lelahel C1-C6 Estrella B3</t>
  </si>
  <si>
    <t>Epinard 5/6</t>
  </si>
  <si>
    <t>Mesclun 20</t>
  </si>
  <si>
    <t>Lelahel A5-A8</t>
  </si>
  <si>
    <t>Viviane B3-B4</t>
  </si>
  <si>
    <t>Estrella C5-C7-C8</t>
  </si>
  <si>
    <t>Radis 5</t>
  </si>
  <si>
    <t>Radis 5-bis</t>
  </si>
  <si>
    <t>Raxe</t>
  </si>
  <si>
    <t xml:space="preserve">Lelahel B2 </t>
  </si>
  <si>
    <t>lelahel B1</t>
  </si>
  <si>
    <t>Lelahel C2-C3</t>
  </si>
  <si>
    <t>Salade 12-bis</t>
  </si>
  <si>
    <t>Salade 12-Ter</t>
  </si>
  <si>
    <t xml:space="preserve"> Viviane C3</t>
  </si>
  <si>
    <t xml:space="preserve"> Viviane C2</t>
  </si>
  <si>
    <t>Cressonette</t>
  </si>
  <si>
    <t>Lelahel A1-A2</t>
  </si>
  <si>
    <t>Navet/Radis red meat</t>
  </si>
  <si>
    <t>Navet/red meat/mizu</t>
  </si>
  <si>
    <t>Sept-Nov</t>
  </si>
  <si>
    <t>Navet/Red meat</t>
  </si>
  <si>
    <t>Navet/Red meat/Mizu</t>
  </si>
  <si>
    <t>Viviane C1</t>
  </si>
  <si>
    <t>Radis Red meat 3</t>
  </si>
  <si>
    <t>Viviane B1-B2-A6</t>
  </si>
  <si>
    <t>Radis 6</t>
  </si>
  <si>
    <t>Viviane A4-A5-A7</t>
  </si>
  <si>
    <t>Blette/persil</t>
  </si>
  <si>
    <t>Août-Dec.</t>
  </si>
  <si>
    <t>Mizuna</t>
  </si>
  <si>
    <t>Graine nécessaire</t>
  </si>
  <si>
    <t>plants pr 8 planches</t>
  </si>
  <si>
    <t>Navet 5</t>
  </si>
  <si>
    <t>Pois</t>
  </si>
  <si>
    <t>Aneth et capuccine (contre puceron)    Aneth, artichaut, bourrache, brocoli, capucine, carotte, céleri, chou, chou de Bruxelles, chou-fleur, concombre, cornichon, courge, courgette, épinard, fraisier, laitue, maïs, melon, navet, œillet d'Inde, origan, radis, romarin, rutabaga, sarriette, souci, tomate</t>
  </si>
  <si>
    <t>Culture3</t>
  </si>
  <si>
    <t>Betterave 2/navet 2</t>
  </si>
  <si>
    <t>Août-Oct</t>
  </si>
  <si>
    <t>Mesclun/mizu 13</t>
  </si>
  <si>
    <t>Persil/chico/mesclun 17</t>
  </si>
  <si>
    <t xml:space="preserve">Mesclun 16/blette </t>
  </si>
  <si>
    <t>Mesclun 16-17</t>
  </si>
  <si>
    <t xml:space="preserve">Ajout de 10t/h de fumier de poule et 1t/h d'Orga 3 avant plantation + petite poignée dans le trou de plantation. Plants prometteurs à la croissance mais finalement pas tant productif que cela. </t>
  </si>
  <si>
    <t>Tomates 2 ancinne (Cœur de boeuf)</t>
  </si>
  <si>
    <t>Tomates 2 ancinne (Ananas/Cœur de boeuf)</t>
  </si>
  <si>
    <t>Tomates 2 ancinne(Ananas)</t>
  </si>
  <si>
    <t>1t/h Orga 3 et 1t/h Tourteau de ricin à la plantation. Plantées sur 8 rangs. Plants un peu avancé à la plantation. Résiste mieux à la montaison que la Duplex.</t>
  </si>
  <si>
    <t>Mâche Vit</t>
  </si>
  <si>
    <t xml:space="preserve">1t/h Orga 3 et 1t/h Tourteau de ricin à la plantation. Plantées sur 8 rangs. Plants un peu avancé à la plantation. Variété Vit plus intéressante question rendement et précocité. </t>
  </si>
  <si>
    <t>Mâche Vit/Duplex</t>
  </si>
  <si>
    <t xml:space="preserve">1t/h Orga 3 et 1t/h Tourteau de ricin à la plantation. Plantées sur 8 rangs. Plants un peu avancé à la plantation. Planche complétée avec 1 oeu d'épinard. La variété Vit donne de meilleurs rendement et une meilleur précocité. </t>
  </si>
  <si>
    <t>Mâche Duplex / epinard</t>
  </si>
  <si>
    <t>10t/h fumier mouton + 15kg de paille</t>
  </si>
  <si>
    <t>Année 3</t>
  </si>
  <si>
    <r>
      <t xml:space="preserve">Maïs ts les 15/20, pois gourmand ts les 2/3 sur 2 lignes et courge au milieu. Paillé après semis MaÏs/pois et après arrosage. Plantation des courge une semaine après (jour fruit mais pas période d eplantation) Tomate ananas en inter-rang au cas où…Récolte de maïs mauvaise (pas assez d'eau et de place), pois gourmand inexistant. Seule les courge s'en sont sorti et un peu les tomates (mais beaucoup attaquée par les punaises). 
</t>
    </r>
    <r>
      <rPr>
        <b/>
        <i/>
        <sz val="11"/>
        <color theme="1"/>
        <rFont val="Calibri"/>
        <family val="2"/>
        <scheme val="minor"/>
      </rPr>
      <t>Production Maïs : 15 unité
Production Courge : 16 kg
Production Tomates : 3kg</t>
    </r>
  </si>
  <si>
    <t>Milpa (maïs-Haricot gourmand-courge)/doublé avec tomates "ananas"</t>
  </si>
  <si>
    <t>20t/h fumier mouton+paillage</t>
  </si>
  <si>
    <t>paillage</t>
  </si>
  <si>
    <r>
      <t xml:space="preserve">Plantation en jour feuille. (planches 2/3 complétée avec Mesclun). Salades attaquée par ???( peut-être les escargot mais pas sûr). La moitié dévastée remplacée aussitôt par de la roquette pour le mesclun. 
</t>
    </r>
    <r>
      <rPr>
        <b/>
        <i/>
        <sz val="11"/>
        <color theme="1"/>
        <rFont val="Calibri"/>
        <family val="2"/>
        <scheme val="minor"/>
      </rPr>
      <t>Production Salade : 42 unité
Production Mesclun : 4 kg</t>
    </r>
  </si>
  <si>
    <t>Salade (Escale)/Mesclun/Roquette
Essembio</t>
  </si>
  <si>
    <r>
      <t xml:space="preserve">Plantation en jour feuille. (planches 2/3 complétée avec Mesclun). Production correcte mais salades de tailles différentes: 
</t>
    </r>
    <r>
      <rPr>
        <b/>
        <i/>
        <sz val="11"/>
        <color theme="1"/>
        <rFont val="Calibri"/>
        <family val="2"/>
        <scheme val="minor"/>
      </rPr>
      <t>Production salade : 62 unités.
Production Mesclun :3kg</t>
    </r>
  </si>
  <si>
    <t>Salade (Carmen)
Essembio</t>
  </si>
  <si>
    <r>
      <t xml:space="preserve">Plantation en jour feuille. (planches 2/3 complétée avec de la mâche).
Production Epinard moins belle que sur les planches voisines (pas le même fumier !!)
</t>
    </r>
    <r>
      <rPr>
        <b/>
        <i/>
        <sz val="11"/>
        <color theme="1"/>
        <rFont val="Calibri"/>
        <family val="2"/>
        <scheme val="minor"/>
      </rPr>
      <t>Production mâche : 3 kg
Production Epinard : 4kg</t>
    </r>
  </si>
  <si>
    <t>Epinard (Verdil) + Mâche
Essembio</t>
  </si>
  <si>
    <t>50t/h fumier mouton+EV+1bt. foin</t>
  </si>
  <si>
    <t>40t/h fumier anne+1bt. foin</t>
  </si>
  <si>
    <t>Année 2</t>
  </si>
  <si>
    <r>
      <t>Plantation hors période plantation (ascension)</t>
    </r>
    <r>
      <rPr>
        <b/>
        <i/>
        <sz val="11"/>
        <color theme="1"/>
        <rFont val="Calibri"/>
        <family val="2"/>
        <scheme val="minor"/>
      </rPr>
      <t xml:space="preserve">
</t>
    </r>
    <r>
      <rPr>
        <sz val="11"/>
        <color theme="1"/>
        <rFont val="Calibri"/>
        <family val="2"/>
        <scheme val="minor"/>
      </rPr>
      <t xml:space="preserve">Pas très bien parti et peu de production ensuite
Saveur très moyenne/ Tomates éclatées facilement
Attaqué par les chenilles + limaces
</t>
    </r>
    <r>
      <rPr>
        <b/>
        <i/>
        <sz val="11"/>
        <color theme="1"/>
        <rFont val="Calibri"/>
        <family val="2"/>
        <scheme val="minor"/>
      </rPr>
      <t xml:space="preserve">Production : 16 kg/11 plants
</t>
    </r>
    <r>
      <rPr>
        <sz val="11"/>
        <color theme="1"/>
        <rFont val="Calibri"/>
        <family val="2"/>
        <scheme val="minor"/>
      </rPr>
      <t xml:space="preserve">Pas de graines sélectionnées…Ne pas retenter
</t>
    </r>
  </si>
  <si>
    <t>Tomates (Noire de Crimée)
Germinance</t>
  </si>
  <si>
    <t>Mai-oct.</t>
  </si>
  <si>
    <r>
      <t>Plantation hors période plantation (ascension)</t>
    </r>
    <r>
      <rPr>
        <b/>
        <i/>
        <sz val="11"/>
        <color theme="1"/>
        <rFont val="Calibri"/>
        <family val="2"/>
        <scheme val="minor"/>
      </rPr>
      <t xml:space="preserve">
</t>
    </r>
    <r>
      <rPr>
        <sz val="11"/>
        <color theme="1"/>
        <rFont val="Calibri"/>
        <family val="2"/>
        <scheme val="minor"/>
      </rPr>
      <t xml:space="preserve">Plus jolie au démarrage que la première série de "Merveille"
Saveur très moyenne et production décevante
Certains plants "cramés" durant la canicule de juillet)
Attaqué par les chenilles + limaces
</t>
    </r>
    <r>
      <rPr>
        <b/>
        <i/>
        <sz val="11"/>
        <color theme="1"/>
        <rFont val="Calibri"/>
        <family val="2"/>
        <scheme val="minor"/>
      </rPr>
      <t xml:space="preserve">Production : 12 kg/11 plants
</t>
    </r>
    <r>
      <rPr>
        <sz val="11"/>
        <color theme="1"/>
        <rFont val="Calibri"/>
        <family val="2"/>
        <scheme val="minor"/>
      </rPr>
      <t xml:space="preserve">Pas de graines sélectionnées...
</t>
    </r>
  </si>
  <si>
    <t>Tomates (Rose de Bern)
Germinance</t>
  </si>
  <si>
    <r>
      <t>Plantation hors période plantation (ascension)</t>
    </r>
    <r>
      <rPr>
        <b/>
        <i/>
        <sz val="11"/>
        <color theme="1"/>
        <rFont val="Calibri"/>
        <family val="2"/>
        <scheme val="minor"/>
      </rPr>
      <t xml:space="preserve">
</t>
    </r>
    <r>
      <rPr>
        <sz val="11"/>
        <color theme="1"/>
        <rFont val="Calibri"/>
        <family val="2"/>
        <scheme val="minor"/>
      </rPr>
      <t xml:space="preserve">Plus jolie au démarrage que la première série de "Merveille" - Bonne saveur
Attaqué par les chenilles + limaces + 
Certains plants "cramés" durant la canicule de juillet)
</t>
    </r>
    <r>
      <rPr>
        <b/>
        <i/>
        <sz val="11"/>
        <color theme="1"/>
        <rFont val="Calibri"/>
        <family val="2"/>
        <scheme val="minor"/>
      </rPr>
      <t>Production : 22 kg/11 plants</t>
    </r>
    <r>
      <rPr>
        <sz val="11"/>
        <color theme="1"/>
        <rFont val="Calibri"/>
        <family val="2"/>
        <scheme val="minor"/>
      </rPr>
      <t xml:space="preserve">
Conclusion : A retenter avec les graines sélectionnées.</t>
    </r>
  </si>
  <si>
    <t>Tomates (Merveille)
Germinance</t>
  </si>
  <si>
    <t>40t/h Mouton Frank + 1 bt. Paille</t>
  </si>
  <si>
    <t>Dec. 14 - Mai 15</t>
  </si>
  <si>
    <t>Année 1</t>
  </si>
  <si>
    <t>Moutarde chétive et éparse. Détruite pour amendement</t>
  </si>
  <si>
    <t>Roto+ EV (moutarde)</t>
  </si>
  <si>
    <t xml:space="preserve">Ajout de 10t/h de fumier de poule et 1t/h d'Orga 3 avant plantation + petite poignée dans le trou de plantation. Pour la première fois, prodction très correcte qui a permit de faire un peu de coulis. </t>
  </si>
  <si>
    <t>Tomates 2 Roma</t>
  </si>
  <si>
    <t>1t/h Orga 3 et 1t/h Tourteau de ricin à la plantation. Plantées sur 4 rangs. Planche complétée avec Salade rougette</t>
  </si>
  <si>
    <t>Epinard "Géant d'Amérique" / Palco+ salade rougette "escale"</t>
  </si>
  <si>
    <t>1t/h Orga 3 et 1t/h Tourteau de ricin à la plantation. Plantées sur 4 rangs.</t>
  </si>
  <si>
    <t>Epinard "Géant d'Amérique" / Palco</t>
  </si>
  <si>
    <t xml:space="preserve">1t/h Orga 3 et 1t/h Tourteau de ricin à la plantation. Plantées sur 4 rangs. Résiste beaucoup mieu à la montaison. </t>
  </si>
  <si>
    <t>Epinard "Matador"</t>
  </si>
  <si>
    <r>
      <t xml:space="preserve">Production quasi-inéxistante. Pourtant les plants ne sont pas trop mal partie mais est-ce un manque d'eau (peu probable) ou un trop chaud ? Un peu envahit par les courges voisines mais cela n'explique pas non plus le défaut de production. 
</t>
    </r>
    <r>
      <rPr>
        <b/>
        <i/>
        <sz val="11"/>
        <color theme="1"/>
        <rFont val="Calibri"/>
        <family val="2"/>
        <scheme val="minor"/>
      </rPr>
      <t>Production : 5 kg</t>
    </r>
  </si>
  <si>
    <t>Pastèque (Graine Aldo)</t>
  </si>
  <si>
    <r>
      <t xml:space="preserve">Bonne production même si peut-être un peu moins longue que la série précédente. Plants tombé malade plus rapidemment. 
</t>
    </r>
    <r>
      <rPr>
        <b/>
        <i/>
        <sz val="11"/>
        <color theme="1"/>
        <rFont val="Calibri"/>
        <family val="2"/>
        <scheme val="minor"/>
      </rPr>
      <t>Production : 50kg</t>
    </r>
  </si>
  <si>
    <t>Courgette parador F1 (Gautier)</t>
  </si>
  <si>
    <r>
      <t xml:space="preserve">Planter sur 3/4 (complétée avec Mixte Salade) de la planche en jour racine. Planté un peu en avance par rapport à la salade (un peu plus radpide à la croissance). Très mauvaise production en revanche du mizuna et pire encore pour la tatsoï (trop froid peut-être). Bonne production de la salade comme à côté.
</t>
    </r>
    <r>
      <rPr>
        <b/>
        <i/>
        <sz val="11"/>
        <color theme="1"/>
        <rFont val="Calibri"/>
        <family val="2"/>
        <scheme val="minor"/>
      </rPr>
      <t>Production Mizu : 2kg
Production Mixte salade : 4kg</t>
    </r>
  </si>
  <si>
    <t>Mesclun (Mizuna/Tatsoï)
Voltz</t>
  </si>
  <si>
    <r>
      <t xml:space="preserve">Plantation en jour où il ne fallait rien planter !! (éclipse solaire). Production bonne mais peu récolté dedans car les autres planches de mesclun étaient prêtes. Planche ertirée pour nouvelle culture. 
</t>
    </r>
    <r>
      <rPr>
        <b/>
        <i/>
        <sz val="11"/>
        <color theme="1"/>
        <rFont val="Calibri"/>
        <family val="2"/>
        <scheme val="minor"/>
      </rPr>
      <t>Production : 8kg</t>
    </r>
  </si>
  <si>
    <t>Mesclun (Salade Mixte)</t>
  </si>
  <si>
    <r>
      <t xml:space="preserve">Plantation en jour fleur. Bonen production mais à planter plus rapprocher (max 10 sur 6 lignes)
</t>
    </r>
    <r>
      <rPr>
        <b/>
        <i/>
        <sz val="11"/>
        <color theme="1"/>
        <rFont val="Calibri"/>
        <family val="2"/>
        <scheme val="minor"/>
      </rPr>
      <t>Production : 7 kg</t>
    </r>
  </si>
  <si>
    <t>Mâche (Vit)
Essembio</t>
  </si>
  <si>
    <r>
      <t xml:space="preserve">Plantation en jour fruit
Les plants sont restés chétifs - Peu de production - Pb amendement
</t>
    </r>
    <r>
      <rPr>
        <b/>
        <i/>
        <sz val="11"/>
        <color theme="1"/>
        <rFont val="Calibri"/>
        <family val="2"/>
        <scheme val="minor"/>
      </rPr>
      <t>Production : 5 kg/22 plants</t>
    </r>
    <r>
      <rPr>
        <sz val="11"/>
        <color theme="1"/>
        <rFont val="Calibri"/>
        <family val="2"/>
        <scheme val="minor"/>
      </rPr>
      <t xml:space="preserve">
Ne faire qu'une ligne (ou faire l'impasse !!!) de 33m avec double amendement+bon paillage.
Graines non conservées</t>
    </r>
  </si>
  <si>
    <t xml:space="preserve">Poivron(corno)
</t>
  </si>
  <si>
    <t xml:space="preserve">Poivron(hongrie/doux provence)
</t>
  </si>
  <si>
    <t xml:space="preserve"> 1t/h Tourteau de ricin à la plantation + 1 pte poignée d'Orga 3 à la dans le trou de plantation. Plantées à 50cm. Bonne production mais moins bonne dans la longueur que la première série. </t>
  </si>
  <si>
    <t>Courgette Parador / Cassiopé</t>
  </si>
  <si>
    <t xml:space="preserve"> 1t/h Tourteau de ricin à la plantation + 1 pte poignée d'Orga 3 à la dans le trou de plantation. Plantées à 50cm.Bonne production mais moins bonne dans la longueur que la première série. </t>
  </si>
  <si>
    <t xml:space="preserve">1t/h Orga 3 et 1t/h Tourteau de ricin à la plantation+ pte poignée d'orga 3 dans le trou. Plantées à 50cm.Bonne production mais moins bonne dans la longueur que la première série. </t>
  </si>
  <si>
    <t xml:space="preserve">Courgette Parador </t>
  </si>
  <si>
    <t>1t/h Orga 3 et 1t/h Tourteau de ricin à la plantation. Plantées sur 4 rangs. Environ 4 mètres de la planche complétée avec Salade Rougette</t>
  </si>
  <si>
    <t>1t/h Orga 3 et 1t/h Tourteau de ricin à la plantation. Plantées sur 4 rangs. Environ 3 mètres de la planche complétée avec Epinard et Betterave du Mesclun</t>
  </si>
  <si>
    <t>1t/h Orga 3 et 1t/h Tourteau de ricin à la plantation. Plantées sur 6 rangs.</t>
  </si>
  <si>
    <t>Mesclun salade + mizu</t>
  </si>
  <si>
    <t>Tomates "Merveille de marché" (graines perso)</t>
  </si>
  <si>
    <t>Basicilc planté le long du GàG.</t>
  </si>
  <si>
    <t>Tomates "Merveille de marché" (graines perso)
+ Basilic Grand vert</t>
  </si>
  <si>
    <t xml:space="preserve">Basicilc planté le long du GàG. Production basilic très moyen mais tomate très belle. Peut-être la végétation la plus importante même si ce ne fut peut-être pas la production la plus importante. </t>
  </si>
  <si>
    <r>
      <t xml:space="preserve">Plantation en jour feuille. Très forte production des salades. Obligé de virer le mesclun pour les plantations d'été mais production encore abondante. Très mauvaise production en revanche du mizuna et pire encore pour la tatsoï (trop froid peut-être). 
</t>
    </r>
    <r>
      <rPr>
        <b/>
        <i/>
        <sz val="11"/>
        <color theme="1"/>
        <rFont val="Calibri"/>
        <family val="2"/>
        <scheme val="minor"/>
      </rPr>
      <t>Production : 20 kg</t>
    </r>
  </si>
  <si>
    <t xml:space="preserve">Mesclun (Mixte Salade)
</t>
  </si>
  <si>
    <t>Mesclun (Mizuna/Tatsoï/Salade)
Voltz</t>
  </si>
  <si>
    <r>
      <t>Plantation hors période plantation (ascension)</t>
    </r>
    <r>
      <rPr>
        <b/>
        <i/>
        <sz val="11"/>
        <color theme="1"/>
        <rFont val="Calibri"/>
        <family val="2"/>
        <scheme val="minor"/>
      </rPr>
      <t xml:space="preserve">
</t>
    </r>
    <r>
      <rPr>
        <sz val="11"/>
        <color theme="1"/>
        <rFont val="Calibri"/>
        <family val="2"/>
        <scheme val="minor"/>
      </rPr>
      <t xml:space="preserve">Plus jolie au démarrage que la première série de "Merveille"
Saveur très moyenne et production décevante
Attaqué par les chenilles + limaces
</t>
    </r>
    <r>
      <rPr>
        <b/>
        <i/>
        <sz val="11"/>
        <color theme="1"/>
        <rFont val="Calibri"/>
        <family val="2"/>
        <scheme val="minor"/>
      </rPr>
      <t xml:space="preserve">Production : 12 kg/11 plants
</t>
    </r>
    <r>
      <rPr>
        <sz val="11"/>
        <color theme="1"/>
        <rFont val="Calibri"/>
        <family val="2"/>
        <scheme val="minor"/>
      </rPr>
      <t xml:space="preserve">Pas de graines sélectionnées...
</t>
    </r>
  </si>
  <si>
    <r>
      <t>Plantation hors période plantation (ascension)</t>
    </r>
    <r>
      <rPr>
        <b/>
        <i/>
        <sz val="11"/>
        <color theme="1"/>
        <rFont val="Calibri"/>
        <family val="2"/>
        <scheme val="minor"/>
      </rPr>
      <t xml:space="preserve">
</t>
    </r>
    <r>
      <rPr>
        <sz val="11"/>
        <color theme="1"/>
        <rFont val="Calibri"/>
        <family val="2"/>
        <scheme val="minor"/>
      </rPr>
      <t xml:space="preserve">Plus jolie au démarrage que la première série de "Merveille" - Bonne saveur
Attaqué par les chenilles + limaces
</t>
    </r>
    <r>
      <rPr>
        <b/>
        <i/>
        <sz val="11"/>
        <color theme="1"/>
        <rFont val="Calibri"/>
        <family val="2"/>
        <scheme val="minor"/>
      </rPr>
      <t>Production : 22 kg/11 plants</t>
    </r>
    <r>
      <rPr>
        <sz val="11"/>
        <color theme="1"/>
        <rFont val="Calibri"/>
        <family val="2"/>
        <scheme val="minor"/>
      </rPr>
      <t xml:space="preserve">
Conclusion : A retenter avec les graines sélectionnées.</t>
    </r>
  </si>
  <si>
    <t xml:space="preserve">1t/h Orga 3 avt préparation planche et 1 poignée Orga 3 dans le trou de plantation. Tomates tombée malade juste après plantation (grosses pluies). Doublée avec tomate à Dany. (Tomate Kaki). Tomates malades bien repartie. Du coup on a tout laissé avec des tomates deux fois plus dense (à 35cm au lieu de 70). Taille plus sévère pour éviter trop de chevauchement. Bonne production mais moins bonne pour les rondes que les années précédentes. </t>
  </si>
  <si>
    <t>Tomate Ronde "Merveille des Marchés"</t>
  </si>
  <si>
    <t xml:space="preserve">1t/h Orga 3 avt préparation planche et 1 poignée Orga 3 dans le trou de plantation. Tomates tombée malade juste après plantation (grosses pluies). Doublée avec tomate à Dany (Budha Novska). Tomates malades bien repartie. Du coup on a tout laissé avec des tomates deux fois plus dense (à 35cm au lieu de 70). Taille plus sévère pour éviter trop de chevauchement. Bonne production mais moins bonne pour les rondes que les années précédentes. </t>
  </si>
  <si>
    <t xml:space="preserve">1t/h Orga 3 avt préparation planche et 1 poignée Orga 3 dans le trou de plantation. Tomates tombée malade juste après plantation (grosses pluies). Doublée avec tomate à Dany. (Marmande, noir de Crimée). Tomates malades bien repartie. Du coup on a tout laissé avec des tomates deux fois plus dense (à 35cm au lieu de 70). Taille plus sévère pour éviter trop de chevauchement. Bonne production mais moins bonne pour les rondes que les années précédentes. </t>
  </si>
  <si>
    <t>Planter avec Ferramol bio contre les limances</t>
  </si>
  <si>
    <t>Courgette "Cassiope"</t>
  </si>
  <si>
    <t xml:space="preserve">Planter avec Ferramol bio contre les limances. Pas plus de succès. Tomates rajouté ensuite. Tomate bien réussie sur cette partie. </t>
  </si>
  <si>
    <t>Pastèque "Sugar Baby" (Gautier)/tomates</t>
  </si>
  <si>
    <t>50t/h fumier mouton+EV+1bt. Foin+ 10t/h fumier poule en mai</t>
  </si>
  <si>
    <r>
      <t xml:space="preserve">Plantation en jour fruit
Les plants sont restés chétifs - Peu de production - Pb amendement
</t>
    </r>
    <r>
      <rPr>
        <b/>
        <i/>
        <sz val="11"/>
        <color theme="1"/>
        <rFont val="Calibri"/>
        <family val="2"/>
        <scheme val="minor"/>
      </rPr>
      <t>Production : 5 kg/22 plants</t>
    </r>
    <r>
      <rPr>
        <sz val="11"/>
        <color theme="1"/>
        <rFont val="Calibri"/>
        <family val="2"/>
        <scheme val="minor"/>
      </rPr>
      <t xml:space="preserve">
Ne faire qu'une ligne de 33m avec double amendement+bon paillage.
Graines non conservées</t>
    </r>
  </si>
  <si>
    <r>
      <t xml:space="preserve">Plantation en jour fruit
Les plants sont restés chétifs - Peu de production - Pb amendement
</t>
    </r>
    <r>
      <rPr>
        <b/>
        <i/>
        <sz val="11"/>
        <color theme="1"/>
        <rFont val="Calibri"/>
        <family val="2"/>
        <scheme val="minor"/>
      </rPr>
      <t>Production : 5 kg/22 plants</t>
    </r>
    <r>
      <rPr>
        <sz val="11"/>
        <color theme="1"/>
        <rFont val="Calibri"/>
        <family val="2"/>
        <scheme val="minor"/>
      </rPr>
      <t xml:space="preserve">
Ne faire qu'une ligne de 33m avec double amendement+bon paillage.
Graines non conservée</t>
    </r>
  </si>
  <si>
    <t>Aubergine (longue barbentane)
Essembio</t>
  </si>
  <si>
    <t xml:space="preserve">1t/h Orga 3 et 1t/h Tourteau de ricin à la plantation. Plantées à 50cm. Ajout de plant de courgette blanche en deuxième série ainsi que quelques courgette vertes. Bonne production mais moins bonne que la première série. </t>
  </si>
  <si>
    <t>Blanche d'Egypte</t>
  </si>
  <si>
    <t xml:space="preserve">1t/h Orga 3 et 1t/h Tourteau de ricin à la plantation. Plantées à 50cm. Série qui a le mieux produit de la saison. A été plantée juste après le gel. </t>
  </si>
  <si>
    <t>Courgette Parador/blanche d'Egypte</t>
  </si>
  <si>
    <r>
      <t xml:space="preserve">Variété "rose d'eauze". Production très médiocre. Plants plus petits et tomates plus attaquées. 
</t>
    </r>
    <r>
      <rPr>
        <b/>
        <i/>
        <sz val="11"/>
        <color theme="1"/>
        <rFont val="Calibri"/>
        <family val="2"/>
        <scheme val="minor"/>
      </rPr>
      <t>Production : 40 kg</t>
    </r>
  </si>
  <si>
    <t>Tomates "Ancienne"</t>
  </si>
  <si>
    <r>
      <t xml:space="preserve">Variété "Ruffus Carigan"/"Andine Cornu". Bonne production des quelques plants d'andine. 
</t>
    </r>
    <r>
      <rPr>
        <b/>
        <i/>
        <sz val="11"/>
        <color theme="1"/>
        <rFont val="Calibri"/>
        <family val="2"/>
        <scheme val="minor"/>
      </rPr>
      <t>Production : 80 kg</t>
    </r>
  </si>
  <si>
    <r>
      <t xml:space="preserve">Variété "Ruffus Carigan"/"cœur de bœuf rose" et "Ananas". La plus grosse production de la saison. Graines conservées. 
</t>
    </r>
    <r>
      <rPr>
        <b/>
        <i/>
        <sz val="11"/>
        <color theme="1"/>
        <rFont val="Calibri"/>
        <family val="2"/>
        <scheme val="minor"/>
      </rPr>
      <t>Production : 120 kg</t>
    </r>
  </si>
  <si>
    <t>40t/h fumier anne+1bt. Foin+ 10t fumier poule en mai</t>
  </si>
  <si>
    <r>
      <t xml:space="preserve">Plantation en jour fruit 
Bon démarrage mais très vite les plants ont déperri. Pb amendement ou eau !!
Mauvais rendement et maladie arrivée tôt.
</t>
    </r>
    <r>
      <rPr>
        <b/>
        <i/>
        <sz val="11"/>
        <color theme="1"/>
        <rFont val="Calibri"/>
        <family val="2"/>
        <scheme val="minor"/>
      </rPr>
      <t>Production : 16 kg/44 plants</t>
    </r>
    <r>
      <rPr>
        <sz val="11"/>
        <color theme="1"/>
        <rFont val="Calibri"/>
        <family val="2"/>
        <scheme val="minor"/>
      </rPr>
      <t xml:space="preserve">
Conclusion : Ne pas refaire - Attention / Bon paillage et beaucoup d'eau</t>
    </r>
  </si>
  <si>
    <t>Courgette (Verte de Milan)
Essembio</t>
  </si>
  <si>
    <t>Avril-oct.</t>
  </si>
  <si>
    <r>
      <t xml:space="preserve">Plantation en jour fruit (hors période de plantation)
Démarrage un peu difficile même si bonne mise à fruit (pb pollénisation)
Plants robuste qui dure qui dure....
</t>
    </r>
    <r>
      <rPr>
        <b/>
        <i/>
        <sz val="11"/>
        <color theme="1"/>
        <rFont val="Calibri"/>
        <family val="2"/>
        <scheme val="minor"/>
      </rPr>
      <t>Production : 45 kg/22 plants</t>
    </r>
    <r>
      <rPr>
        <sz val="11"/>
        <color theme="1"/>
        <rFont val="Calibri"/>
        <family val="2"/>
        <scheme val="minor"/>
      </rPr>
      <t xml:space="preserve">
A refaire en deux fois (graines sélectionnées)</t>
    </r>
  </si>
  <si>
    <t>Courgette (blanche d'égypte)
Germinance</t>
  </si>
  <si>
    <t>1t/h Orga 3 avt préparation planche et 1 poignée Orga 3 dans le trou de plantation. Tomates tombée malade juste après plantation (grosses pluies). Doublée avec tomate à Dany. (Ananas/Kaki). Tomates malades bien repartie. Du coup on a tout laissé avec des tomates deux fois plus dense (à 35cm au lieu de 70). Taille plus sévère pour éviter trop de chevauchement. Bonne production des coeurs de boeufs mais moins bonne pour les ananas.</t>
  </si>
  <si>
    <t>Tomate ancienne "Ananas"/"Cœur de bœuf"</t>
  </si>
  <si>
    <t xml:space="preserve">1t/h Orga 3 avt préparation planche et 1 poignée Orga 3 dans le trou de plantation. Tomates tombée malade juste après plantation (grosses pluies). Doublée avec tomate à Dany. (Cœur de bœuf/ananas). Tomates malades bien repartie. Du coup on a tout laissé avec des tomates deux fois plus dense (à 35cm au lieu de 70). Taille plus sévère pour éviter trop de chevauchement. Production moyenne. </t>
  </si>
  <si>
    <t>Tomate ancienne "Ananas"</t>
  </si>
  <si>
    <t xml:space="preserve">1t/h Orga 3 avt préparation planche et 1 poignée Orga 3 dans le trou de plantation. Tomates tombée malade juste après plantation (grosses pluies). Doublée avec tomate à Dany. (Rose de Bern/Cœur de Bœuf). Tomates malades bien repartie. Du coup on a tout laissé avec des tomates deux fois plus dense (à 35cm au lieu de 70). Taille plus sévère pour éviter trop de chevauchement. Parmis les meilleurs réussite en terme de production. </t>
  </si>
  <si>
    <t>Tomate ancienne "Cœur de bœuf"/rose de Bern</t>
  </si>
  <si>
    <r>
      <t xml:space="preserve">Planter avec Ferramol bio contre les limances. Au final, on a réussi à sortir du melon mais avec une qualité assez médiocre. 
</t>
    </r>
    <r>
      <rPr>
        <b/>
        <i/>
        <sz val="11"/>
        <color theme="1"/>
        <rFont val="Calibri"/>
        <family val="2"/>
        <scheme val="minor"/>
      </rPr>
      <t>Production : 20kg</t>
    </r>
  </si>
  <si>
    <t>Melon Charentais (graines perso)</t>
  </si>
  <si>
    <r>
      <t xml:space="preserve">Planter avec Ferramol bio contre les limances. Doublé avec une deuxième série de melon "charentais". Au final, on a réussi à sortir du melon mais avec une qualité assez médiocre. 
</t>
    </r>
    <r>
      <rPr>
        <b/>
        <i/>
        <sz val="11"/>
        <color theme="1"/>
        <rFont val="Calibri"/>
        <family val="2"/>
        <scheme val="minor"/>
      </rPr>
      <t>Production : 20kg</t>
    </r>
  </si>
  <si>
    <t>Melon "Jenga" (Gautier)/charentais</t>
  </si>
  <si>
    <r>
      <t>Plantation en jour fruit</t>
    </r>
    <r>
      <rPr>
        <b/>
        <i/>
        <sz val="11"/>
        <color theme="1"/>
        <rFont val="Calibri"/>
        <family val="2"/>
        <scheme val="minor"/>
      </rPr>
      <t xml:space="preserve">
</t>
    </r>
    <r>
      <rPr>
        <sz val="11"/>
        <color theme="1"/>
        <rFont val="Calibri"/>
        <family val="2"/>
        <scheme val="minor"/>
      </rPr>
      <t xml:space="preserve">Plus précoce à la mise à fruit
Pas de goût et vite attaquée. Plantation totalement ratée.
</t>
    </r>
    <r>
      <rPr>
        <b/>
        <i/>
        <sz val="11"/>
        <color theme="1"/>
        <rFont val="Calibri"/>
        <family val="2"/>
        <scheme val="minor"/>
      </rPr>
      <t>Production : 14 kg/15 plants</t>
    </r>
    <r>
      <rPr>
        <sz val="11"/>
        <color theme="1"/>
        <rFont val="Calibri"/>
        <family val="2"/>
        <scheme val="minor"/>
      </rPr>
      <t xml:space="preserve">
Conclusion : Dans un tel cas de figure, mieux vaut vite tout arracher et resemer en direct pour tenter une culture fin été.
Aucune graine conservée</t>
    </r>
  </si>
  <si>
    <t>Tomates (Cœur de Boeuf)
Germinance</t>
  </si>
  <si>
    <r>
      <t>Plantation en jour fruit</t>
    </r>
    <r>
      <rPr>
        <b/>
        <i/>
        <sz val="11"/>
        <color theme="1"/>
        <rFont val="Calibri"/>
        <family val="2"/>
        <scheme val="minor"/>
      </rPr>
      <t xml:space="preserve">
</t>
    </r>
    <r>
      <rPr>
        <sz val="11"/>
        <color theme="1"/>
        <rFont val="Calibri"/>
        <family val="2"/>
        <scheme val="minor"/>
      </rPr>
      <t xml:space="preserve">Plus jolie au démarrage que les autres - Bonne saveur
Moins attaqués par les chenille au début mais plus par les limaces à la fin de l'été
</t>
    </r>
    <r>
      <rPr>
        <b/>
        <i/>
        <sz val="11"/>
        <color theme="1"/>
        <rFont val="Calibri"/>
        <family val="2"/>
        <scheme val="minor"/>
      </rPr>
      <t>Production : 12 kg/11 plants</t>
    </r>
    <r>
      <rPr>
        <sz val="11"/>
        <color theme="1"/>
        <rFont val="Calibri"/>
        <family val="2"/>
        <scheme val="minor"/>
      </rPr>
      <t xml:space="preserve">
Conclusion : A retenter avec les graines sélectionnées.</t>
    </r>
  </si>
  <si>
    <t>Tomates (Ananas)
Germinance</t>
  </si>
  <si>
    <r>
      <t xml:space="preserve">Plantation en jour fruit  
</t>
    </r>
    <r>
      <rPr>
        <b/>
        <i/>
        <sz val="11"/>
        <color theme="1"/>
        <rFont val="Calibri"/>
        <family val="2"/>
        <scheme val="minor"/>
      </rPr>
      <t xml:space="preserve">250g Marc de café avt plantation (pas de différence marquante avec les autres). 
</t>
    </r>
    <r>
      <rPr>
        <sz val="11"/>
        <color theme="1"/>
        <rFont val="Calibri"/>
        <family val="2"/>
        <scheme val="minor"/>
      </rPr>
      <t xml:space="preserve">Plus jolie au démarrage que les autres - Bonne saveur
Moins attaqués par les chenille au début mais plus par les limace à la fin de l'été
</t>
    </r>
    <r>
      <rPr>
        <b/>
        <i/>
        <sz val="11"/>
        <color theme="1"/>
        <rFont val="Calibri"/>
        <family val="2"/>
        <scheme val="minor"/>
      </rPr>
      <t>Production : 12 kg/11 plants</t>
    </r>
    <r>
      <rPr>
        <sz val="11"/>
        <color theme="1"/>
        <rFont val="Calibri"/>
        <family val="2"/>
        <scheme val="minor"/>
      </rPr>
      <t xml:space="preserve">
Conclusion : A retenter avec les graines sélectionnées.</t>
    </r>
  </si>
  <si>
    <t>1t/h Orga 3 et 1t/h Tourteau de ricin à la plantation. Plantées à 50cm. Cette partie de la ligne à bien poussée mais était en retard par rapport à la deuxième série. A pris le gel 3 fois fin avril mais s'en est finalement bien sorti avec une bonne production .</t>
  </si>
  <si>
    <t xml:space="preserve">Courgette Cassiope </t>
  </si>
  <si>
    <t xml:space="preserve">Courgette Parador/Cassiope </t>
  </si>
  <si>
    <r>
      <t xml:space="preserve">Variété "Merveille des Marché". Très bonne production. 
</t>
    </r>
    <r>
      <rPr>
        <b/>
        <i/>
        <sz val="11"/>
        <color theme="1"/>
        <rFont val="Calibri"/>
        <family val="2"/>
        <scheme val="minor"/>
      </rPr>
      <t>Production : 60 kg</t>
    </r>
  </si>
  <si>
    <r>
      <t xml:space="preserve">Plantation en jour fruit
Plants très chétif. Très peu de production
</t>
    </r>
    <r>
      <rPr>
        <b/>
        <i/>
        <sz val="11"/>
        <color theme="1"/>
        <rFont val="Calibri"/>
        <family val="2"/>
        <scheme val="minor"/>
      </rPr>
      <t>Production : 8 kg/11 plants</t>
    </r>
    <r>
      <rPr>
        <sz val="11"/>
        <color theme="1"/>
        <rFont val="Calibri"/>
        <family val="2"/>
        <scheme val="minor"/>
      </rPr>
      <t xml:space="preserve">
Faire une ligne avec melon+ GàG 2L/h pr abondance en eau</t>
    </r>
  </si>
  <si>
    <t>Pastèque (sugar Baby)
Essembio</t>
  </si>
  <si>
    <r>
      <t xml:space="preserve">Plantation en jour fruit
Les plants sont restés chétifs - Peu de production - Pb amendement
</t>
    </r>
    <r>
      <rPr>
        <b/>
        <i/>
        <sz val="11"/>
        <color theme="1"/>
        <rFont val="Calibri"/>
        <family val="2"/>
        <scheme val="minor"/>
      </rPr>
      <t>Production : 5 kg/22 plants</t>
    </r>
    <r>
      <rPr>
        <sz val="11"/>
        <color theme="1"/>
        <rFont val="Calibri"/>
        <family val="2"/>
        <scheme val="minor"/>
      </rPr>
      <t xml:space="preserve">
Ne faire qu'une ligne de 33m avec double amendement+bon paillage.</t>
    </r>
  </si>
  <si>
    <t>Aubergine (black beauty)
Essembio</t>
  </si>
  <si>
    <t xml:space="preserve">1t/h Orga 3 avt préparation planche et 1 poignée Orga 3 dans le trou de plantation. Tomates bien attaquée après une pluie. Doublée par Olivette, Cerise rouge, Poire rouge et Reine d'or de chez Dany. Très bonne production, précoce et tardive. Nettoyée régulièrement car feuille un peu malade. </t>
  </si>
  <si>
    <t>Tomate Cerise "Black Cherry"</t>
  </si>
  <si>
    <r>
      <t xml:space="preserve">Planter en jour de plantation avec anti-limace. Moins bien réussi que les précédent. Certainement un </t>
    </r>
    <r>
      <rPr>
        <b/>
        <i/>
        <sz val="11"/>
        <color theme="1"/>
        <rFont val="Calibri"/>
        <family val="2"/>
        <scheme val="minor"/>
      </rPr>
      <t>manque d'eau par rapport au deux planches précédentes, plantées plus tôt. 
Production : 10kg</t>
    </r>
  </si>
  <si>
    <t>Concombre "market more" (graine perso)</t>
  </si>
  <si>
    <r>
      <t xml:space="preserve">Planter un peu plus serré (60cm)+ cendre contre les limances ss trop de succès donc utilisation d'anti-limace bio. Plantation doublée avec tomates. Au final, production très correct pour les concombres et pas mal pour les tomates. 
</t>
    </r>
    <r>
      <rPr>
        <b/>
        <i/>
        <sz val="11"/>
        <color theme="1"/>
        <rFont val="Calibri"/>
        <family val="2"/>
        <scheme val="minor"/>
      </rPr>
      <t>Production Concombre : 30kg 
Production tomates : 20 kg</t>
    </r>
  </si>
  <si>
    <t>Concombre "généreux" (Gautier)+ marketmore</t>
  </si>
  <si>
    <r>
      <t xml:space="preserve">Planter un peu plus serré (60cm)+ cendre contre les limances ss trop de succès donc utilisation d'anti-limace bio. Plantation doublée avec tomates. Au final, production très correct pour les concombres et pas mal pour les tomates. 
</t>
    </r>
    <r>
      <rPr>
        <b/>
        <i/>
        <sz val="11"/>
        <color theme="1"/>
        <rFont val="Calibri"/>
        <family val="2"/>
        <scheme val="minor"/>
      </rPr>
      <t>Production Concombre : 30kg 
Production tomates : 40 kg</t>
    </r>
  </si>
  <si>
    <t>Concombre "généreux" (Gautier)/tomates</t>
  </si>
  <si>
    <r>
      <t xml:space="preserve">Plantation en jour fruit
Démarrage lent / feuilles recourbées
Attaquées par chenille+limace/cloporte (fin été)
</t>
    </r>
    <r>
      <rPr>
        <b/>
        <i/>
        <sz val="11"/>
        <color theme="1"/>
        <rFont val="Calibri"/>
        <family val="2"/>
        <scheme val="minor"/>
      </rPr>
      <t>Production : 20 kg/11 plants</t>
    </r>
    <r>
      <rPr>
        <sz val="11"/>
        <color theme="1"/>
        <rFont val="Calibri"/>
        <family val="2"/>
        <scheme val="minor"/>
      </rPr>
      <t xml:space="preserve">
Bilan : A refaire/sélection graine+attention arrosage important l'été</t>
    </r>
  </si>
  <si>
    <t>Tomates (merveille)
Germinance</t>
  </si>
  <si>
    <t>Avril-oct. 15</t>
  </si>
  <si>
    <t>40t/h Mouton Frank + 1 bt. Paille
Essai avec vermi compost
(pas de différence)</t>
  </si>
  <si>
    <t>Dec. 14 - Avril 15</t>
  </si>
  <si>
    <t>Remarques</t>
  </si>
  <si>
    <t>Activités</t>
  </si>
  <si>
    <t>Planté sur 7 ligne. Croissance bonnne même si quelques trou ici et là. *</t>
  </si>
  <si>
    <t xml:space="preserve">2t/h Orga 3 au moment du semis. Semé sur 3 rangs. Très mauvaise germination. Resemé après deux semaines.  Semis raté. Défiance des graines. Tentative infructeuse avec Carotte et resmis de HV en juin. Superbe croissance mais aucun haricot !!! Peut-être erreur d'avoir arroser un soir et cela a fait coulé les fleur !!! Aucune récolte. </t>
  </si>
  <si>
    <t>Haricot Vert 1 (Cupidon)</t>
  </si>
  <si>
    <t>Planté sur 3 ligne à 40 avec 2t/h de tourteau de ricin dans la ligne de plantation. Pas mal attaqué par les punaise et croissance ralentie. Arrivée après la deuxième série semé 2 semaine après.</t>
  </si>
  <si>
    <t>Chou Chinois (kaboko)</t>
  </si>
  <si>
    <t xml:space="preserve">Semé sur 5 ligne, non enterré juste passage de roue de pousse pousse. Pas trop mal levé. Récolte correcte mais au final les navets n'étaient pas énorme. Peut-être à semé un poil plus tôt. </t>
  </si>
  <si>
    <t>Navet (jaune boule d'or)</t>
  </si>
  <si>
    <t>Aout 2017</t>
  </si>
  <si>
    <t>1t/h Orga 3 et 1t/h Tourteau de ricin à l aplantation. Plantés sur 4 rangs. Difficulté pour les navet de bien grossir. Peut-être les semer un peu plus tard. Radis en inter rang moyennement réussi</t>
  </si>
  <si>
    <t>Navet "jaune boule d'or"</t>
  </si>
  <si>
    <t xml:space="preserve">Ajout de 1,5t/h de tourteau de ricin à la plantation. Planté sur 4 lignes à 25. Malgré l'attaque classique de mulot, plutôt une bonne récolte jusque fin juin. </t>
  </si>
  <si>
    <t>Blette "verte à Carde Blanche"</t>
  </si>
  <si>
    <t xml:space="preserve">Ajout de 1t/h de tourteau de ricin et 1t/h d'orga 3 à la plantation. Planté sur 8 lignes. Bonne croissance avec environ 2000 plants au final. </t>
  </si>
  <si>
    <t>Pépinière poireau</t>
  </si>
  <si>
    <t>10t/h fumier mouton+paille</t>
  </si>
  <si>
    <r>
      <t xml:space="preserve">Plantée hors période de plantation. Production très bonne avec trois passage. Troisème passage plus léger car repousse plus lente. 
</t>
    </r>
    <r>
      <rPr>
        <b/>
        <i/>
        <sz val="11"/>
        <color theme="1"/>
        <rFont val="Calibri"/>
        <family val="2"/>
        <scheme val="minor"/>
      </rPr>
      <t>Production : 15kg</t>
    </r>
  </si>
  <si>
    <t>Epinard "Racoon" (le tilleul)</t>
  </si>
  <si>
    <t>Qqs kg de fumier de poule</t>
  </si>
  <si>
    <r>
      <t xml:space="preserve">Semé sur 3 rangs. Pas de pb particulier mais production un peu moins abondante. Sol peut-être un peu trop sec et manque d'arrosage.
</t>
    </r>
    <r>
      <rPr>
        <b/>
        <i/>
        <sz val="11"/>
        <color theme="1"/>
        <rFont val="Calibri"/>
        <family val="2"/>
        <scheme val="minor"/>
      </rPr>
      <t>Production : 10kg</t>
    </r>
  </si>
  <si>
    <t>Haricot vert "Cupidon" (Essembio).</t>
  </si>
  <si>
    <t xml:space="preserve">Croissance bonne au départ sour filet bio puis bien attaqués par les punaises une fois le filet retiré et bien calmé par le froid de décembre. Au final quasi aucune production. </t>
  </si>
  <si>
    <t>Chou Romanesco (essembio/germinance)</t>
  </si>
  <si>
    <t>qqs kg de fumier poule</t>
  </si>
  <si>
    <r>
      <t xml:space="preserve">Sur 4 lignes (2 lignes de chaque). Bonne production de radis noir, un peu moins bon pour le red meat.
</t>
    </r>
    <r>
      <rPr>
        <b/>
        <i/>
        <sz val="11"/>
        <color theme="1"/>
        <rFont val="Calibri"/>
        <family val="2"/>
        <scheme val="minor"/>
      </rPr>
      <t>Production Red meat : 12 kg 
production radis noir : 20 kg</t>
    </r>
  </si>
  <si>
    <t>Radis red meat/Radis noir</t>
  </si>
  <si>
    <r>
      <t xml:space="preserve">Hors journée plantation racine. Bonne production, peu de pertes mais betteraves restées de taille moyenne. Pas de différence avec semis en godet. 
</t>
    </r>
    <r>
      <rPr>
        <b/>
        <i/>
        <sz val="11"/>
        <color theme="1"/>
        <rFont val="Calibri"/>
        <family val="2"/>
        <scheme val="minor"/>
      </rPr>
      <t>Production :  43 bottes+1kg en vrac</t>
    </r>
  </si>
  <si>
    <t>Betterave "détroit 2"
(Essembio)</t>
  </si>
  <si>
    <r>
      <t xml:space="preserve">Semis en jour fruit. Tuteuré à 80cm. Aurait mérité un peu plus haut mais pratique pour al récolte. Bonne production. Surveillance l'enherbement moyenne et buttage  négligé. 
</t>
    </r>
    <r>
      <rPr>
        <b/>
        <i/>
        <sz val="11"/>
        <color theme="1"/>
        <rFont val="Calibri"/>
        <family val="2"/>
        <scheme val="minor"/>
      </rPr>
      <t>Production : 18kg</t>
    </r>
  </si>
  <si>
    <t>Pt pois "Merveille de kelvedon" 
(essembio)</t>
  </si>
  <si>
    <r>
      <t xml:space="preserve">Planter en jour racine (ss P17). Salades rajoutées en inter rang (2 lignes).
</t>
    </r>
    <r>
      <rPr>
        <b/>
        <i/>
        <sz val="11"/>
        <color theme="1"/>
        <rFont val="Calibri"/>
        <family val="2"/>
        <scheme val="minor"/>
      </rPr>
      <t>Production Salade Carmen : 45 unités
Production oignon : 110 bottes</t>
    </r>
  </si>
  <si>
    <t>Oignon Rouge () - essembio/Salade Carmen</t>
  </si>
  <si>
    <t>Occultation TT-3 semaines + faux semis</t>
  </si>
  <si>
    <t>50t/h fumier mouton+EV+paille</t>
  </si>
  <si>
    <t>50t/h fumier mouton+EV+foin</t>
  </si>
  <si>
    <t>50t/h Fumier mouton F.+1bte. Foin</t>
  </si>
  <si>
    <t>Toile tissée/ occultation</t>
  </si>
  <si>
    <r>
      <rPr>
        <b/>
        <i/>
        <sz val="11"/>
        <color theme="1"/>
        <rFont val="Calibri"/>
        <family val="2"/>
        <scheme val="minor"/>
      </rPr>
      <t>5 salades seulement récoltées</t>
    </r>
    <r>
      <rPr>
        <sz val="11"/>
        <color theme="1"/>
        <rFont val="Calibri"/>
        <family val="2"/>
        <scheme val="minor"/>
      </rPr>
      <t xml:space="preserve"> (montaison très rapide)
Un peu mieux avec le mesclun mais choisir autres variétés
</t>
    </r>
    <r>
      <rPr>
        <b/>
        <i/>
        <sz val="11"/>
        <color theme="1"/>
        <rFont val="Calibri"/>
        <family val="2"/>
        <scheme val="minor"/>
      </rPr>
      <t>Production Mesclun : 4 kg</t>
    </r>
  </si>
  <si>
    <t xml:space="preserve">Salade (rougette/Pierre bénite)
Germinance/essembio
+ Mesclun (biscia/FdC)
</t>
  </si>
  <si>
    <r>
      <t xml:space="preserve">Plantation en jour racine
Longue tige sortant de terre. Croissance très moyenne. 
</t>
    </r>
    <r>
      <rPr>
        <b/>
        <i/>
        <sz val="11"/>
        <color theme="1"/>
        <rFont val="Calibri"/>
        <family val="2"/>
        <scheme val="minor"/>
      </rPr>
      <t xml:space="preserve">Production : 1 1unités
</t>
    </r>
    <r>
      <rPr>
        <sz val="11"/>
        <color theme="1"/>
        <rFont val="Calibri"/>
        <family val="2"/>
        <scheme val="minor"/>
      </rPr>
      <t>Conclusion : Peut-être un pb de fertilité sinon changer de variété</t>
    </r>
  </si>
  <si>
    <t>Chou Rave (rouge blaril)
essembio</t>
  </si>
  <si>
    <r>
      <t xml:space="preserve">Hors journée plantation feuille
48 jours de croissance. Début des grosses chaleurs. Récolte en deux semaines. 
</t>
    </r>
    <r>
      <rPr>
        <b/>
        <i/>
        <sz val="11"/>
        <color theme="1"/>
        <rFont val="Calibri"/>
        <family val="2"/>
        <scheme val="minor"/>
      </rPr>
      <t>Production : 30 salades</t>
    </r>
    <r>
      <rPr>
        <sz val="11"/>
        <color theme="1"/>
        <rFont val="Calibri"/>
        <family val="2"/>
        <scheme val="minor"/>
      </rPr>
      <t xml:space="preserve">
FdC monte en graine très rapidemment. A éviter. </t>
    </r>
  </si>
  <si>
    <t>Salade (Dorée prts/FdeC)
(Girerd/Germinance)</t>
  </si>
  <si>
    <t>Production : 26 bottes (en deux semaines)</t>
  </si>
  <si>
    <t>Radis (topsi bio)
Essembio</t>
  </si>
  <si>
    <t>40t/h Fumier mouton+paille</t>
  </si>
  <si>
    <t>40t/h Fumier cheval frais+Paille</t>
  </si>
  <si>
    <t>Fumier cheval frais+Paille</t>
  </si>
  <si>
    <t xml:space="preserve">Planté sur 7 ligne. Bonne production. Production très correcte. </t>
  </si>
  <si>
    <t>Crucifère japonaise</t>
  </si>
  <si>
    <t xml:space="preserve">Planté sur 4 ligne à 30 avec 2t/h de tourteau de ricin dans la ligne de plantation. </t>
  </si>
  <si>
    <t>Chou  Rave (Delikatess)</t>
  </si>
  <si>
    <t>1t/h Orga 3 et 1t/h Tourteau de ricin à l aplantation. Plantés sur 4 rangs. Radis en inter rang moyennement réussi</t>
  </si>
  <si>
    <t>Navet "jaune boule d'or"/Radis Red Meat</t>
  </si>
  <si>
    <t xml:space="preserve">Ajout de 1,5t/h de tourteau de ricin à la plantation. Planté sur 4 lignes à 25. complété avec de la salade Carmen. Malgré l'attaque classique de mulot, plutôt une bonne récolte jusque fin juin. </t>
  </si>
  <si>
    <t>Blette "verte à Carde Blanche"/ Salade Carmen</t>
  </si>
  <si>
    <t xml:space="preserve">Ajout de 1t/h de tourteau de ricin et 1t/h d'orga 3 au semis. Semé sur 8 lignes. Bonne levée et récolte correcte. </t>
  </si>
  <si>
    <r>
      <t xml:space="preserve">Sur 4 lignes (2 lignes de chaque). 1/3 Radis/1/3 Blette et 1/3 mesclun
</t>
    </r>
    <r>
      <rPr>
        <b/>
        <i/>
        <sz val="11"/>
        <color theme="1"/>
        <rFont val="Calibri"/>
        <family val="2"/>
        <scheme val="minor"/>
      </rPr>
      <t>Production Blette : 10 bottes</t>
    </r>
    <r>
      <rPr>
        <sz val="11"/>
        <color theme="1"/>
        <rFont val="Calibri"/>
        <family val="2"/>
        <scheme val="minor"/>
      </rPr>
      <t xml:space="preserve">.
</t>
    </r>
    <r>
      <rPr>
        <b/>
        <i/>
        <sz val="11"/>
        <color theme="1"/>
        <rFont val="Calibri"/>
        <family val="2"/>
        <scheme val="minor"/>
      </rPr>
      <t>Production Radis noir : 20 kg</t>
    </r>
  </si>
  <si>
    <t>Radis noir/Blette/Mesclun</t>
  </si>
  <si>
    <r>
      <t xml:space="preserve">Croissance bonne au départ sour filet bio puis bien attaqués par les punaises une fois le filet retiré et bien calmé par le froid de décembre. Au final quasi aucune production du romanesco et petit production de chou fleur. 
</t>
    </r>
    <r>
      <rPr>
        <b/>
        <i/>
        <sz val="11"/>
        <color theme="1"/>
        <rFont val="Calibri"/>
        <family val="2"/>
        <scheme val="minor"/>
      </rPr>
      <t>Production : 8 kg</t>
    </r>
  </si>
  <si>
    <t>Chou Fleur (essembio/germinance)</t>
  </si>
  <si>
    <r>
      <t xml:space="preserve">Planter en jour racine (ss P17). Salades rajoutées en inter rang (2 lignes)
</t>
    </r>
    <r>
      <rPr>
        <b/>
        <i/>
        <sz val="11"/>
        <color theme="1"/>
        <rFont val="Calibri"/>
        <family val="2"/>
        <scheme val="minor"/>
      </rPr>
      <t>Production Salade Carmen : 15 unités
Production Salade Escale : 15 unités
Production Oignon  : 30 botte + 50 kg oignon sec</t>
    </r>
  </si>
  <si>
    <t>Oignon Cénol- essembio/Salade Carmen/Escale</t>
  </si>
  <si>
    <r>
      <t xml:space="preserve">Betteraves en godet, plantées hors période de plantation. Bonne production, peu de pertes mais betteraves restées de taille moyenne. Pas de différence avec semis direct. 
</t>
    </r>
    <r>
      <rPr>
        <b/>
        <i/>
        <sz val="11"/>
        <color theme="1"/>
        <rFont val="Calibri"/>
        <family val="2"/>
        <scheme val="minor"/>
      </rPr>
      <t>Production :  48 bottes+1kg en vrac</t>
    </r>
  </si>
  <si>
    <t>50t/h Fumier mouton F.+EV(vesce/raygrass)+foin</t>
  </si>
  <si>
    <t>Sur une moitié de planche/chiendent</t>
  </si>
  <si>
    <t>Toile tissée/ occultation sur 1/2</t>
  </si>
  <si>
    <t>Toile tissée/occultation chiendent</t>
  </si>
  <si>
    <r>
      <t xml:space="preserve">Plantation en jour racine
Longue tige sortant de terre. Croissance très moyenne. 
</t>
    </r>
    <r>
      <rPr>
        <b/>
        <i/>
        <sz val="11"/>
        <color theme="1"/>
        <rFont val="Calibri"/>
        <family val="2"/>
        <scheme val="minor"/>
      </rPr>
      <t xml:space="preserve">Production : 20 unités
</t>
    </r>
    <r>
      <rPr>
        <sz val="11"/>
        <color theme="1"/>
        <rFont val="Calibri"/>
        <family val="2"/>
        <scheme val="minor"/>
      </rPr>
      <t>Conclusion : Peut-être un pb de fertilité sinon changer de variété</t>
    </r>
  </si>
  <si>
    <t>Chou Rave (logo vert)
essembio</t>
  </si>
  <si>
    <r>
      <t xml:space="preserve">Plantation hors jours feuille. 
Difficulté de germination pour le persil !! A revoir. 
La coriandre est montée en graine très rapidemment / Le persil à bien tenu
</t>
    </r>
    <r>
      <rPr>
        <b/>
        <i/>
        <sz val="11"/>
        <color theme="1"/>
        <rFont val="Calibri"/>
        <family val="2"/>
        <scheme val="minor"/>
      </rPr>
      <t xml:space="preserve">Tps de croissance coriandre : 44 jours - Production : 17 bottes
Tps de croissance Persil : 72 jours - Production : 38 bottes
</t>
    </r>
    <r>
      <rPr>
        <sz val="11"/>
        <color theme="1"/>
        <rFont val="Calibri"/>
        <family val="2"/>
        <scheme val="minor"/>
      </rPr>
      <t xml:space="preserve">Conclusion : Changer de variété pour coriandre
</t>
    </r>
  </si>
  <si>
    <t>Persil (Frisé) - Cyril
Coriandre (Sativum) - Germinance</t>
  </si>
  <si>
    <r>
      <t xml:space="preserve">Germination mauvaise - peu de récolte
</t>
    </r>
    <r>
      <rPr>
        <b/>
        <i/>
        <sz val="11"/>
        <color theme="1"/>
        <rFont val="Calibri"/>
        <family val="2"/>
        <scheme val="minor"/>
      </rPr>
      <t>Production : 15 bottes</t>
    </r>
  </si>
  <si>
    <t>Carotte (Nantaise 2 tip top)
Essembio</t>
  </si>
  <si>
    <t>Planté sur 4 lignes. Plantation raté. Aucune production. Certainement planté trop tôt. Planche maudite</t>
  </si>
  <si>
    <t>Epinard (Falco)</t>
  </si>
  <si>
    <t xml:space="preserve">Planté sur 4 lignes. Echec total. Peut-être plantation trop précoce. Les plants sont mort ou montée en graine. </t>
  </si>
  <si>
    <t>Epinard (Verdil)</t>
  </si>
  <si>
    <t>2t/h Orga 3 au moment du semis. Semé sur 3 rangs. Très mauvaise germination. Resemé après deux semaines mais toujours sans succès. Mauvaise graine. Remplacée par Maïs. MaÏs tout autant raté avec quasiemment aucun épis viable. Soit pourri, soit piqué. Tout viré.</t>
  </si>
  <si>
    <t>Haricot Vert 1 (Cupidon)/maïs</t>
  </si>
  <si>
    <t xml:space="preserve">Nouvelle semence. Ajout de 1t/h d'Orga et 1t/h de tourteau de ricin avant semis. Croissance assez moyenne mais récolte pas trop mal. </t>
  </si>
  <si>
    <t>HV (Cupidon)</t>
  </si>
  <si>
    <t>Semé sur 5 ligne, non enterré juste passage de roue de pousse pousse. Pas trop mal levé.</t>
  </si>
  <si>
    <t>Radis Red meat 2</t>
  </si>
  <si>
    <t>1t/h Orga 3 et 1t/h Tourteau de ricin à l aplantation. Plantés sur 4 rangs. Mauvais choix de culture, les ref meat monte en graine très rapidemment avant maturité. Radis en inter rang moyennement réussi</t>
  </si>
  <si>
    <t>Radis Red Meat + Radis</t>
  </si>
  <si>
    <t>Ajout de 1,5t/h de tourteau de ricin à la plantation. Planté sur 5 lignes à 10.</t>
  </si>
  <si>
    <t>Betterave "Détroit 2" de essembio</t>
  </si>
  <si>
    <t xml:space="preserve">Ajout de 10t/h de fumier de poule et 1t/h d'orga 3 à la plantation. Plantée sur 4 ligne à 30. Un peu plus serre pour les Carmen. Salade vite montée en graine. </t>
  </si>
  <si>
    <t>Salade 5 (Storina/Carmen)</t>
  </si>
  <si>
    <r>
      <t xml:space="preserve">Sucrine sur 3 rangs avec deux lignes. Sur 3 mètres, 3 lignes de cornet et deux lignes en inter rang de mizuna. Planche attaqué un peu par les sanglier et beaucoup par les mulots. 
</t>
    </r>
    <r>
      <rPr>
        <b/>
        <i/>
        <sz val="11"/>
        <color theme="1"/>
        <rFont val="Calibri"/>
        <family val="2"/>
        <scheme val="minor"/>
      </rPr>
      <t xml:space="preserve">Production : Chicorée : 15 unités
Production blette : 20 bottes
</t>
    </r>
  </si>
  <si>
    <t>Sucrine "pain de sucre"/Mesclun/blette</t>
  </si>
  <si>
    <r>
      <t xml:space="preserve">Sur 4 rangs intercalé : 2 rangs de chou rave et 2 rang de navet. Complété avec un peu de chou Romanesco sur 3 lignes. Très bon départ (couverte avec P17) mais direct attaqué par les punaises une fois découverte.
</t>
    </r>
    <r>
      <rPr>
        <b/>
        <i/>
        <sz val="11"/>
        <color theme="1"/>
        <rFont val="Calibri"/>
        <family val="2"/>
        <scheme val="minor"/>
      </rPr>
      <t>Production navet : 30 bottes
Production Chou Rave : 40 unités</t>
    </r>
  </si>
  <si>
    <t>Chou Rave/ Navet</t>
  </si>
  <si>
    <r>
      <t xml:space="preserve">Planter en jour racine (ss P17). Salades rajoutées en inter rang (2 lignes)
</t>
    </r>
    <r>
      <rPr>
        <b/>
        <i/>
        <sz val="11"/>
        <color theme="1"/>
        <rFont val="Calibri"/>
        <family val="2"/>
        <scheme val="minor"/>
      </rPr>
      <t>Production Salade Escale : 30 unités
Production Oignon  : 30 bottes + 50 kg oignon sec</t>
    </r>
  </si>
  <si>
    <t>Oignon Cénol - essembio/Salade Escale</t>
  </si>
  <si>
    <t xml:space="preserve">Hors journée plantation racine. 7 rangs. Mauvaise germination (trop froid, voir peut-être enterré trop profond.). Ressemé en mars (rothild) mais bouff&amp;é par les escargot/cloporte. Rempacé par du mesclun. </t>
  </si>
  <si>
    <t>Carotte "Touchon" puis Rothild - Mesclun (salade)
(Essembio)</t>
  </si>
  <si>
    <t>Paille</t>
  </si>
  <si>
    <t>Net. Paille</t>
  </si>
  <si>
    <r>
      <t xml:space="preserve">Plantation en jour feuille
Très lente croissance et montée en graine altérant la récolte
</t>
    </r>
    <r>
      <rPr>
        <b/>
        <i/>
        <sz val="11"/>
        <color theme="1"/>
        <rFont val="Calibri"/>
        <family val="2"/>
        <scheme val="minor"/>
      </rPr>
      <t>Production : 8kg</t>
    </r>
    <r>
      <rPr>
        <sz val="11"/>
        <color theme="1"/>
        <rFont val="Calibri"/>
        <family val="2"/>
        <scheme val="minor"/>
      </rPr>
      <t xml:space="preserve">
Conclusion : Planter plus tôt et peut-être une seule planche. Pëu demandé. </t>
    </r>
  </si>
  <si>
    <t>Fenouil  (Perfection)
Germinance</t>
  </si>
  <si>
    <r>
      <t xml:space="preserve">Plantation hors jour feuille
Tps de croissance avant récolte : 36 jours
Pas trop mal réussi avec échelonnement de la récolte sur 1 mois
</t>
    </r>
    <r>
      <rPr>
        <b/>
        <i/>
        <sz val="11"/>
        <color theme="1"/>
        <rFont val="Calibri"/>
        <family val="2"/>
        <scheme val="minor"/>
      </rPr>
      <t>Production : 10kg</t>
    </r>
    <r>
      <rPr>
        <sz val="11"/>
        <color theme="1"/>
        <rFont val="Calibri"/>
        <family val="2"/>
        <scheme val="minor"/>
      </rPr>
      <t xml:space="preserve">
</t>
    </r>
  </si>
  <si>
    <t>Mesclun (Mizuna/FdC/Biscia)
Germinance</t>
  </si>
  <si>
    <t>Beaucoup d'herbes (sorte de graminée) a poussé - terre dure</t>
  </si>
  <si>
    <t>Foin</t>
  </si>
  <si>
    <t>Oct. 14</t>
  </si>
  <si>
    <t>Planté sur 8 lignes. Croissance pas trop mauvaise. Désherbée une fois. Production très correcte malgré quelques trous.</t>
  </si>
  <si>
    <t>Mâche (Vit)</t>
  </si>
  <si>
    <t>planté sur 7 lignes. Bonne croissance même les navets ont été correcte même si planté plus tard que les précédents</t>
  </si>
  <si>
    <t>Crucifère japonaise pour mesclun/Navet 5</t>
  </si>
  <si>
    <t xml:space="preserve">2t/h d'orga 3 + avant plantation. Semé sur 6 lignes. Germination correcte mais peut-être pas assez arrosé car rendement mauvais. </t>
  </si>
  <si>
    <t xml:space="preserve">Nouvelle semence. Ajout de 1t/h d'Orga et 1t/h de tourteau de ricin avant semis. Croissance assez moyenne mais récolte correcte. </t>
  </si>
  <si>
    <t xml:space="preserve">Ajout de 1t/h d'ovinalp avant plantation. </t>
  </si>
  <si>
    <t>Crucifère japonaise/ Radis Red meat 3</t>
  </si>
  <si>
    <t xml:space="preserve">Planté sur 6 rangs. Fumier de poule et 1t/H d'Orga 3 avant plantation. Série qui a plus souffert de la chaleur mais qui est resté finalement pas mal de temps sans trop monter en graine même si production assez moyenne. </t>
  </si>
  <si>
    <r>
      <t xml:space="preserve">Scarole géante sur 3 rangs et cornet sur 4 rangs. Planche attaqué un peu par les sanglier et beaucoup par les mulots. 
</t>
    </r>
    <r>
      <rPr>
        <b/>
        <i/>
        <sz val="11"/>
        <color theme="1"/>
        <rFont val="Calibri"/>
        <family val="2"/>
        <scheme val="minor"/>
      </rPr>
      <t>Production : Chicorée : 20 unités</t>
    </r>
  </si>
  <si>
    <t>Chicorée scarole géante/ Chicorée Cornet d'anjou</t>
  </si>
  <si>
    <r>
      <t xml:space="preserve">Choux plantés sur 2 rangs et le Red Meat sur le 3ème. Un peu juste pour les red meat qui manquaient de lumière. La production de chou en revanche a été bonne. Un peu attaquée par les punaises et les chenille mais bonne production. 
</t>
    </r>
    <r>
      <rPr>
        <b/>
        <i/>
        <sz val="11"/>
        <color theme="1"/>
        <rFont val="Calibri"/>
        <family val="2"/>
        <scheme val="minor"/>
      </rPr>
      <t>Production Red meat : 8 kg 
Production Chou de milan : 22kg</t>
    </r>
  </si>
  <si>
    <t>Chou de Milan/ Red Meat</t>
  </si>
  <si>
    <r>
      <t xml:space="preserve">Semé en jour racine. Démarrage ss P17. Le semis n'est pas très bien sorti. Complétée avec du repiquage d'oignon jaune vendues en cébette. Sinon, bonne production, pas de soucis majeures.  
</t>
    </r>
    <r>
      <rPr>
        <b/>
        <i/>
        <sz val="11"/>
        <color theme="1"/>
        <rFont val="Calibri"/>
        <family val="2"/>
        <scheme val="minor"/>
      </rPr>
      <t>Production Simiane/oignon jaune : 50 bottes + 40 kg d'oignon sec</t>
    </r>
  </si>
  <si>
    <t>Oignon jaune (Cévenne et Cénol) - essembio</t>
  </si>
  <si>
    <r>
      <t xml:space="preserve">Hors journée plantation racine. 6 rangs. Mauvaise germination (trop froid, voir peut-être enterré trop profond.). Ressemé en mars (touchon) avec Radis. Bouffée par les escargot/cloporte !!!). Insertion de salade storian enter les rangs. 
</t>
    </r>
    <r>
      <rPr>
        <b/>
        <i/>
        <sz val="11"/>
        <color theme="1"/>
        <rFont val="Calibri"/>
        <family val="2"/>
        <scheme val="minor"/>
      </rPr>
      <t>Production Radis : 25 bottes.
Production Salade : 64 unités</t>
    </r>
  </si>
  <si>
    <t>Carotte "Touchon"+Radis blanc bout rouge+Salade Storina. 
(Essembio et Girerd)</t>
  </si>
  <si>
    <t>Retrait Paille+PP+Grelin.</t>
  </si>
  <si>
    <t>50t/h fumier mouton+paille</t>
  </si>
  <si>
    <t>Net. + Paille</t>
  </si>
  <si>
    <r>
      <t xml:space="preserve">Plantation hors jour feuille
Tps de croissance avant récolte : 50 jours
Pas trop mal réussi avec échelonnement de la récolte sur 1 mois
</t>
    </r>
    <r>
      <rPr>
        <b/>
        <i/>
        <sz val="11"/>
        <color theme="1"/>
        <rFont val="Calibri"/>
        <family val="2"/>
        <scheme val="minor"/>
      </rPr>
      <t>Production : 43 unités/ 100 plantées</t>
    </r>
    <r>
      <rPr>
        <sz val="11"/>
        <color theme="1"/>
        <rFont val="Calibri"/>
        <family val="2"/>
        <scheme val="minor"/>
      </rPr>
      <t xml:space="preserve">
</t>
    </r>
  </si>
  <si>
    <t>Salade (Dorée de printemps)
Girerd</t>
  </si>
  <si>
    <r>
      <t xml:space="preserve">Semé en jour racine. Voile P17
Moins bonne germination que le premier semis (arrosage ?).
</t>
    </r>
    <r>
      <rPr>
        <b/>
        <i/>
        <sz val="11"/>
        <color theme="1"/>
        <rFont val="Calibri"/>
        <family val="2"/>
        <scheme val="minor"/>
      </rPr>
      <t>Production : 30 bottes</t>
    </r>
  </si>
  <si>
    <t>Betterave (rouge Kogel)
Girerd</t>
  </si>
  <si>
    <t>Planté sur 5 lignes. Bonne croissance. Sous filet de protection.</t>
  </si>
  <si>
    <t>Radis Noir / Radis Red meat</t>
  </si>
  <si>
    <t xml:space="preserve">Planté sur 4 lignes. </t>
  </si>
  <si>
    <t>Pain de sucre (virtus)</t>
  </si>
  <si>
    <t>Semé sur 5 ligne, non enterré juste passage de roue de pousse pousse. Pas trop mal levé. Bonne croissance du feuillage mais racine plus lente à se développer.</t>
  </si>
  <si>
    <t>2t/h d'orga 3 + avant plantation. Semé sur 7 lignes avec un essai de jaune du doubs sur la ligne centrale. Germination ratée. Resemé mais de nouveau raté. Remplacé par un nouveau semis de HV. Proiduction correcte de HV</t>
  </si>
  <si>
    <t>Carotte/HV</t>
  </si>
  <si>
    <t xml:space="preserve">Ajout de 1t/h d'Orga 3 à la plantation+ qqs kg de fumier de mélange fumier poule/mouton. Mauvaise croissance certainement du à la chaleur. Ne pas refaire une plantation si tard. </t>
  </si>
  <si>
    <t>Betterave 3 "Détroit 2" de essembio</t>
  </si>
  <si>
    <t xml:space="preserve">Plantée sur 4 rang. 1t/h d'orga 3+15t/h Fumier Poule/mouton à la plantation. Dur dur avec les chaleurs. Peut-être chercher une d'autre variétés. </t>
  </si>
  <si>
    <t>Salade 7 "Storina"/Carmen</t>
  </si>
  <si>
    <r>
      <t xml:space="preserve">Sur 8 rangs. Croissance rapide. Elle était prête avant la série plantée une semaine plus tôt. 
</t>
    </r>
    <r>
      <rPr>
        <b/>
        <i/>
        <sz val="11"/>
        <color theme="1"/>
        <rFont val="Calibri"/>
        <family val="2"/>
        <scheme val="minor"/>
      </rPr>
      <t>Production : 15 kg</t>
    </r>
  </si>
  <si>
    <t>Mâche "Trophy" (le tilleul)</t>
  </si>
  <si>
    <t>qqs kg fumier de poule</t>
  </si>
  <si>
    <r>
      <t xml:space="preserve">Chicorée cornet sur qqs mètres (fin de la plantation précédente) sur qqs mètre associé à une dernière série de Blette, un peu de mizuna pr mesclun…Les blettes étaient bien réussies.
</t>
    </r>
    <r>
      <rPr>
        <b/>
        <i/>
        <sz val="11"/>
        <color theme="1"/>
        <rFont val="Calibri"/>
        <family val="2"/>
        <scheme val="minor"/>
      </rPr>
      <t>Production : Chicorée : 15 unités
Production blette : 10 bottes</t>
    </r>
  </si>
  <si>
    <t xml:space="preserve"> Chicorée Cornet d'anjou/blette/mizu</t>
  </si>
  <si>
    <r>
      <t xml:space="preserve">Production assez moyenne. La Carmen se comporte bien, la cressonnette donne un peu mais la FDC monte directe.
</t>
    </r>
    <r>
      <rPr>
        <b/>
        <i/>
        <sz val="11"/>
        <color theme="1"/>
        <rFont val="Calibri"/>
        <family val="2"/>
        <scheme val="minor"/>
      </rPr>
      <t>Production : 19 unité</t>
    </r>
  </si>
  <si>
    <t xml:space="preserve">Mesclun 6 Salade (Mixte)
</t>
  </si>
  <si>
    <r>
      <t xml:space="preserve">Choux plantés sur 3 rangs avec 1 rang de red meat intercalé. Un peu juste pour les red meat qui manquaient de lumière. Les romanesco, plus lent à la croissance n'ont quasiemment rien donnés. 
</t>
    </r>
    <r>
      <rPr>
        <b/>
        <i/>
        <sz val="11"/>
        <color theme="1"/>
        <rFont val="Calibri"/>
        <family val="2"/>
        <scheme val="minor"/>
      </rPr>
      <t>Production Red meat : 8 kg</t>
    </r>
    <r>
      <rPr>
        <sz val="11"/>
        <color theme="1"/>
        <rFont val="Calibri"/>
        <family val="2"/>
        <scheme val="minor"/>
      </rPr>
      <t xml:space="preserve"> </t>
    </r>
  </si>
  <si>
    <t>Chou Romanesco/ Red Meat</t>
  </si>
  <si>
    <r>
      <t xml:space="preserve">Semé en jour racine. Démarrage ss P17. Le semis n'est pas très bien sorti. Complétée avec du repiquage d'oignon jaune vendues en cébette. Sinon, bonne production, pas de soucis majeures.  
</t>
    </r>
    <r>
      <rPr>
        <b/>
        <i/>
        <sz val="11"/>
        <color theme="1"/>
        <rFont val="Calibri"/>
        <family val="2"/>
        <scheme val="minor"/>
      </rPr>
      <t>Production Simiane/oignon jaune : 60 bottes</t>
    </r>
  </si>
  <si>
    <t>Oignon Rouge (simiane et florence) - essembio</t>
  </si>
  <si>
    <r>
      <t xml:space="preserve">Production correcte mais moins bonnne que la deuxième série. Il semble que la reprise fut moins bonne en raison du format de motte.
</t>
    </r>
    <r>
      <rPr>
        <b/>
        <i/>
        <sz val="11"/>
        <color theme="1"/>
        <rFont val="Calibri"/>
        <family val="2"/>
        <scheme val="minor"/>
      </rPr>
      <t>Production : 14kg</t>
    </r>
  </si>
  <si>
    <t>Epinard (Verdil)
Essembio</t>
  </si>
  <si>
    <r>
      <t xml:space="preserve">Semis en jour fruit. Sur 2 rangs / Espacement 10cm. 800g utilisé. 
Essai avec variété "crétoise" / "d'auvergne" et "Ténarèfe" - début chaque rang.
Puceron dès début février en raison de l'hiver doux. Traité au savon noir. 
</t>
    </r>
    <r>
      <rPr>
        <b/>
        <i/>
        <sz val="11"/>
        <color theme="1"/>
        <rFont val="Calibri"/>
        <family val="2"/>
        <scheme val="minor"/>
      </rPr>
      <t>Prodution : 40kg</t>
    </r>
  </si>
  <si>
    <t>Fève Agadulce</t>
  </si>
  <si>
    <t>Occultation TT</t>
  </si>
  <si>
    <t>30t/h Fumier mouton F.</t>
  </si>
  <si>
    <r>
      <t xml:space="preserve">Plantation en jour feuille
Production correcte par rapport aux autres mais pas top en absolu
</t>
    </r>
    <r>
      <rPr>
        <b/>
        <i/>
        <sz val="11"/>
        <color theme="1"/>
        <rFont val="Calibri"/>
        <family val="2"/>
        <scheme val="minor"/>
      </rPr>
      <t>Production : 4kg</t>
    </r>
    <r>
      <rPr>
        <sz val="11"/>
        <color theme="1"/>
        <rFont val="Calibri"/>
        <family val="2"/>
        <scheme val="minor"/>
      </rPr>
      <t xml:space="preserve">
</t>
    </r>
  </si>
  <si>
    <t>Mesclun (Mizuna/FdC/Roquet)
Essembio</t>
  </si>
  <si>
    <r>
      <t xml:space="preserve">Plantation en jour feuille
Démarrage un peu difficile sous P17, enracinement faible
Mieux ensuite et bonne résistance à la chaleur - récolte jusque début juillet
</t>
    </r>
    <r>
      <rPr>
        <b/>
        <i/>
        <sz val="11"/>
        <color theme="1"/>
        <rFont val="Calibri"/>
        <family val="2"/>
        <scheme val="minor"/>
      </rPr>
      <t xml:space="preserve">Production : 28 botte / 80 plants
</t>
    </r>
    <r>
      <rPr>
        <sz val="11"/>
        <color theme="1"/>
        <rFont val="Calibri"/>
        <family val="2"/>
        <scheme val="minor"/>
      </rPr>
      <t>Conclusion : Variété à refaire. Peut être planter à peine plus serrée</t>
    </r>
  </si>
  <si>
    <t>Blette (Glatter Silber 3)
Essembio</t>
  </si>
  <si>
    <r>
      <t xml:space="preserve">1 seule récolte car devenu piquant rapidemment
</t>
    </r>
    <r>
      <rPr>
        <b/>
        <i/>
        <sz val="11"/>
        <color theme="1"/>
        <rFont val="Calibri"/>
        <family val="2"/>
        <scheme val="minor"/>
      </rPr>
      <t>Production : 25 bottes</t>
    </r>
    <r>
      <rPr>
        <sz val="11"/>
        <color theme="1"/>
        <rFont val="Calibri"/>
        <family val="2"/>
        <scheme val="minor"/>
      </rPr>
      <t xml:space="preserve">
Couvrir et arrosé régulièrement</t>
    </r>
  </si>
  <si>
    <t xml:space="preserve">Planté sur 5 lignes. Bonne croissance. Sous filet de protection. Bonne production des navet, un peu moins bon pour les radis noirs qui ont été moins gros que le semis direct réalisé pourtant après. </t>
  </si>
  <si>
    <t>Navet (jaune boule d'or)/Radis Noir</t>
  </si>
  <si>
    <t>L'ancien persil fut laissé et la planche est complétée par qqs mètre de persil et pareil de chicorée</t>
  </si>
  <si>
    <t>Persil/ Pain de sucre /Mesclun</t>
  </si>
  <si>
    <t>Betterave  (detroit 2)</t>
  </si>
  <si>
    <t>2t/h d'orga 3 + avant plantation. Semé sur 7 lignes avec un essai de jaune du doubs sur la ligne centrale. Germination ratée. Resemé mais de nouveau raté. Remplacé par un nouveau semis de HV. Production correcte de HV</t>
  </si>
  <si>
    <t xml:space="preserve">Ajout de 1t/h d'Orga 3 à la plantation+ qqs kg de fumier de mélange fumier poule/mouton. Mauvaise croissance certainement du à la chaleur. Ne pas refaire une plantation si tard. Le persil en revanche a très bien donné. </t>
  </si>
  <si>
    <t>Betterave 3 "Détroit 2" de essembio/persil/mizu</t>
  </si>
  <si>
    <t>Plantée sur 4 rang. 1t/h d'orga 3+15t/h Fumier Poule/mouton à la plantation. Salade vite montée en graine en raison de la chaleur</t>
  </si>
  <si>
    <t>Salade 6 "Storina"/Carmen</t>
  </si>
  <si>
    <r>
      <t xml:space="preserve">Sur 7-8 rangs. Tenté serré. Bonne production mais un peu moins que la précédente (planche en partie occupée par un peu d'épinard). 
</t>
    </r>
    <r>
      <rPr>
        <b/>
        <i/>
        <sz val="11"/>
        <color theme="1"/>
        <rFont val="Calibri"/>
        <family val="2"/>
        <scheme val="minor"/>
      </rPr>
      <t>Production : 9 kg</t>
    </r>
  </si>
  <si>
    <t xml:space="preserve">Mâche (Vit)
</t>
  </si>
  <si>
    <t>qqs kg fumier pourl composté 5 mois</t>
  </si>
  <si>
    <r>
      <t xml:space="preserve">Sur 4 lignes. Bonne production, environ 3 passages. 
</t>
    </r>
    <r>
      <rPr>
        <b/>
        <i/>
        <sz val="11"/>
        <color theme="1"/>
        <rFont val="Calibri"/>
        <family val="2"/>
        <scheme val="minor"/>
      </rPr>
      <t>Production : 22kg</t>
    </r>
  </si>
  <si>
    <t>Epinard (Racoon)</t>
  </si>
  <si>
    <r>
      <t xml:space="preserve">Production correcte même si levée assez rapide. Plein été.
</t>
    </r>
    <r>
      <rPr>
        <b/>
        <i/>
        <sz val="11"/>
        <color theme="1"/>
        <rFont val="Calibri"/>
        <family val="2"/>
        <scheme val="minor"/>
      </rPr>
      <t>Production : 76 unités</t>
    </r>
  </si>
  <si>
    <t xml:space="preserve">Salade 8 (Storina) - Gautier
</t>
  </si>
  <si>
    <r>
      <t xml:space="preserve">Choux plantés sur 3 rangs avec 1 rang de red meat intercalé. Un peu juste pour les red meat qui manquaient de lumière. Production chou fleur très réduite, pas mal de perte à la reprise et croissance moyenne (trop froid). 
</t>
    </r>
    <r>
      <rPr>
        <b/>
        <i/>
        <sz val="11"/>
        <color theme="1"/>
        <rFont val="Calibri"/>
        <family val="2"/>
        <scheme val="minor"/>
      </rPr>
      <t>Production Red meat : 8 kg 
Production chou fleur 3 kg</t>
    </r>
  </si>
  <si>
    <t>Chou Fleur/ Red Meat</t>
  </si>
  <si>
    <t>qqs kg de fumier poule composté 5 mois</t>
  </si>
  <si>
    <r>
      <t xml:space="preserve">Sur 3 rang à 15cm - Mis ss P17 au démarrage. Traité une fois avec la bouilli au début de l'hiver. Rouille apparue début mai (comme l'année passée). Retraitée avec bouillie pour limiter les dégâts. Au final, production correcte avec des tête d'ail en moyenne de 80g.
</t>
    </r>
    <r>
      <rPr>
        <b/>
        <i/>
        <sz val="11"/>
        <color theme="1"/>
        <rFont val="Calibri"/>
        <family val="2"/>
        <scheme val="minor"/>
      </rPr>
      <t>Production : 22 bottes de 100g et 8kg en sec</t>
    </r>
  </si>
  <si>
    <t>Ail (termidor)</t>
  </si>
  <si>
    <t>60t/h fumier mouton</t>
  </si>
  <si>
    <r>
      <t xml:space="preserve">Semis en jour fruit - Trempage de la semence une nuit avant
Germination pire  et plants chétifs. 
</t>
    </r>
    <r>
      <rPr>
        <b/>
        <i/>
        <sz val="11"/>
        <color theme="1"/>
        <rFont val="Calibri"/>
        <family val="2"/>
        <scheme val="minor"/>
      </rPr>
      <t xml:space="preserve">Production : 9kg </t>
    </r>
    <r>
      <rPr>
        <sz val="11"/>
        <color theme="1"/>
        <rFont val="Calibri"/>
        <family val="2"/>
        <scheme val="minor"/>
      </rPr>
      <t xml:space="preserve">
Conclusion : Trempage à éviter ou à faire différement. </t>
    </r>
  </si>
  <si>
    <t>Haricot Vert (Cupidon)
Essembio</t>
  </si>
  <si>
    <r>
      <t xml:space="preserve">Semis direct en jour fruit (hors période plantation)
Paillage Paille
Très bon démarrage - Début récolte après 40 jours seulement et beau feuillage
Maladie rapidemment (mosaique/fusariose..). Très vite tout est dévasté
</t>
    </r>
    <r>
      <rPr>
        <b/>
        <i/>
        <sz val="11"/>
        <color theme="1"/>
        <rFont val="Calibri"/>
        <family val="2"/>
        <scheme val="minor"/>
      </rPr>
      <t>Production : 8kg/22 plants</t>
    </r>
    <r>
      <rPr>
        <sz val="11"/>
        <color theme="1"/>
        <rFont val="Calibri"/>
        <family val="2"/>
        <scheme val="minor"/>
      </rPr>
      <t xml:space="preserve">
</t>
    </r>
  </si>
  <si>
    <t>Courgette (verte de milan)
Essembio</t>
  </si>
  <si>
    <t>40t/h Fumier mouton</t>
  </si>
  <si>
    <r>
      <t xml:space="preserve">Plantation en jour feuille
Production correcte par rapport aux autres mais pas top en absolu
</t>
    </r>
    <r>
      <rPr>
        <b/>
        <i/>
        <sz val="11"/>
        <color theme="1"/>
        <rFont val="Calibri"/>
        <family val="2"/>
        <scheme val="minor"/>
      </rPr>
      <t>Production : 46 unités / 100 plantées</t>
    </r>
    <r>
      <rPr>
        <sz val="11"/>
        <color theme="1"/>
        <rFont val="Calibri"/>
        <family val="2"/>
        <scheme val="minor"/>
      </rPr>
      <t xml:space="preserve">
</t>
    </r>
  </si>
  <si>
    <t>Salade (Rougette.Pierre bénite)
Essembio</t>
  </si>
  <si>
    <t xml:space="preserve">Poireau planté sur 4 ligne à 15cm. Rajout de 2t/h de tourteau de ricin dans la ligne de plantation. Un peu attaquée par les mulots mais croissance un poil plus rapide car sur l'autre partie du terrain. </t>
  </si>
  <si>
    <t>Poireau (Maxim)</t>
  </si>
  <si>
    <t xml:space="preserve">Planté sur 4 rangs. 2t/h de tourteau dans la ligne de plantation. Très bonne récolte et bonne précocité. Sous voile contre les punaises et pas trop attzquées. </t>
  </si>
  <si>
    <t>Semé sur 5 ligne, non enterré juste passage de roue de pousse pousse. Pas trop mal levé. Planche complétée avec des plants semés. Bonne croissance du feuillage mais racine plus lente à se développer.</t>
  </si>
  <si>
    <t>1t/h d'orga 3 + 1T/H de tourteau avant plantation. Planté sur 6 lignes avec Mizu rouge et vert.</t>
  </si>
  <si>
    <t>1t/h d'orga 3 à la palntation dans les lignes de plantation. Planté sur 5 rangs. Navet très jolie mais très vite attaquées par les escargots. Betteraves moins jolie.</t>
  </si>
  <si>
    <t xml:space="preserve">Planté sur 6 rangs. Fumier de poule et 1t/H d'Orga 3 avant plantation. Bonne récolte, pas de soucis particulier, très bonne production. </t>
  </si>
  <si>
    <r>
      <t xml:space="preserve">Semis hors jour racine et voilé avec filet bio. Premier essai. Aucune levée. Plantation Mesclun en remplacement. 
</t>
    </r>
    <r>
      <rPr>
        <b/>
        <i/>
        <sz val="11"/>
        <color theme="1"/>
        <rFont val="Calibri"/>
        <family val="2"/>
        <scheme val="minor"/>
      </rPr>
      <t>Production Mesclun : 20 kg</t>
    </r>
  </si>
  <si>
    <t>Carotte "Touchon" (essembio)- Mesclun Salade</t>
  </si>
  <si>
    <r>
      <t xml:space="preserve">Choux plantés sur 3 rangs. Production très moyenne. La pousse n'a pas été mauvaise mais les fleurs sont restées petites. 
</t>
    </r>
    <r>
      <rPr>
        <b/>
        <i/>
        <sz val="11"/>
        <color theme="1"/>
        <rFont val="Calibri"/>
        <family val="2"/>
        <scheme val="minor"/>
      </rPr>
      <t>Production : 5kg</t>
    </r>
  </si>
  <si>
    <t>Chou Brocoli</t>
  </si>
  <si>
    <r>
      <t xml:space="preserve">Belle production. Plus important que pour les épinards de la première série (semis plaques alvéolées !!!)
</t>
    </r>
    <r>
      <rPr>
        <b/>
        <i/>
        <sz val="11"/>
        <color theme="1"/>
        <rFont val="Calibri"/>
        <family val="2"/>
        <scheme val="minor"/>
      </rPr>
      <t>Production : 19 kg</t>
    </r>
  </si>
  <si>
    <t>50t/h fumier mouton+foin</t>
  </si>
  <si>
    <t>Toile tissée sur 1/2 planche</t>
  </si>
  <si>
    <r>
      <t xml:space="preserve">Hors calendrier semis
Semis un peu dur en raison des chaleurs. Arrosage à la raie. 
Rendement correct mais pas de deuxième récolte conséquente. 
</t>
    </r>
    <r>
      <rPr>
        <b/>
        <i/>
        <sz val="11"/>
        <color theme="1"/>
        <rFont val="Calibri"/>
        <family val="2"/>
        <scheme val="minor"/>
      </rPr>
      <t>Production : 9 kg</t>
    </r>
  </si>
  <si>
    <t>Courgette (verte de milan+jaune)
Essembio</t>
  </si>
  <si>
    <r>
      <t xml:space="preserve">Plantation en jour feuille
Meilleur production que la première série mais décevant tout de même.
</t>
    </r>
    <r>
      <rPr>
        <b/>
        <i/>
        <sz val="11"/>
        <color theme="1"/>
        <rFont val="Calibri"/>
        <family val="2"/>
        <scheme val="minor"/>
      </rPr>
      <t>Production : 3,5 kg</t>
    </r>
    <r>
      <rPr>
        <sz val="11"/>
        <color theme="1"/>
        <rFont val="Calibri"/>
        <family val="2"/>
        <scheme val="minor"/>
      </rPr>
      <t xml:space="preserve">
Changer de variété !! Acheter des plants sûr !!</t>
    </r>
  </si>
  <si>
    <t>Epinard (Nored Norman)
Essembio</t>
  </si>
  <si>
    <r>
      <t xml:space="preserve">Plantation en jour feuille
Mis sous P17 - feuille supporte mal et jaunissement. 
Il reprend du vert ensuite mais souffre de la chaleur. Montaison facile.
</t>
    </r>
    <r>
      <rPr>
        <b/>
        <i/>
        <sz val="11"/>
        <color theme="1"/>
        <rFont val="Calibri"/>
        <family val="2"/>
        <scheme val="minor"/>
      </rPr>
      <t>Production : 20 bottes</t>
    </r>
    <r>
      <rPr>
        <sz val="11"/>
        <color theme="1"/>
        <rFont val="Calibri"/>
        <family val="2"/>
        <scheme val="minor"/>
      </rPr>
      <t xml:space="preserve">
Conclusion : Gros besoin en eau mais Gà G insuffisant. Pas de P17 !!!</t>
    </r>
  </si>
  <si>
    <t>Basilic (Grand vert)
Girerd</t>
  </si>
  <si>
    <r>
      <t xml:space="preserve">Semis jour racine - 5 ligne + moitié à la volée
</t>
    </r>
    <r>
      <rPr>
        <b/>
        <i/>
        <sz val="11"/>
        <color theme="1"/>
        <rFont val="Calibri"/>
        <family val="2"/>
        <scheme val="minor"/>
      </rPr>
      <t>Production : 21 bottes</t>
    </r>
    <r>
      <rPr>
        <sz val="11"/>
        <color theme="1"/>
        <rFont val="Calibri"/>
        <family val="2"/>
        <scheme val="minor"/>
      </rPr>
      <t xml:space="preserve">
Radis devenu piquants rapidemment - Pb Arrosage ou trop chaud
</t>
    </r>
  </si>
  <si>
    <t>Radis (Rond à bout blanc)
Girerd</t>
  </si>
  <si>
    <t>1t/h d'orga 3 à la palntation dans les lignes de plantation. Planté sur 4 rangs.</t>
  </si>
  <si>
    <t>Pak choi/Salade</t>
  </si>
  <si>
    <t>1t/h d'orga 3 à la palntation dans les lignes de plantation. Planté sur 5 rangs. Aspect moins jolie et moins bonne pousse (trop de chaleur ou trop d'eau  ???)</t>
  </si>
  <si>
    <t xml:space="preserve">Plantée sur 3 rang. 1t/h d'orga 3+1t/h de tourteau avant plantation. Pas de soucis particulier. </t>
  </si>
  <si>
    <t>Salade 4 "Storina"</t>
  </si>
  <si>
    <r>
      <t xml:space="preserve">Semis hors jour racine et voilé avec filet bio. Premier essai. Une seule ligne bien sortie. Complétée avec salade Storina et Carmen. 
</t>
    </r>
    <r>
      <rPr>
        <b/>
        <i/>
        <sz val="11"/>
        <color theme="1"/>
        <rFont val="Calibri"/>
        <family val="2"/>
        <scheme val="minor"/>
      </rPr>
      <t>Production Salade : 28 unités</t>
    </r>
  </si>
  <si>
    <t>Carotte "Napoli' (essembio)/ Salade Storina et Carmen</t>
  </si>
  <si>
    <t>Toile tissée 50t/h fumier mouton+foin</t>
  </si>
  <si>
    <t>40t/h Fumier mouton V.</t>
  </si>
  <si>
    <r>
      <t xml:space="preserve">Semis direct en jour fruit (hors période plantation)
Paillage avec laine de mouton (Benjamin)
Très bon démarrage - Début récolte après 40 jours seulement et beau feuillage
Maladie rapidemment (mosaique/fusariose..). Très vite tout est dévasté
</t>
    </r>
    <r>
      <rPr>
        <b/>
        <i/>
        <sz val="11"/>
        <color theme="1"/>
        <rFont val="Calibri"/>
        <family val="2"/>
        <scheme val="minor"/>
      </rPr>
      <t xml:space="preserve">Production : 8kg/22 plants
</t>
    </r>
    <r>
      <rPr>
        <sz val="11"/>
        <color theme="1"/>
        <rFont val="Calibri"/>
        <family val="2"/>
        <scheme val="minor"/>
      </rPr>
      <t xml:space="preserve">Conclusion : Paillage mouton moyen - (maladie !!!)- refaire un semis début août
</t>
    </r>
  </si>
  <si>
    <r>
      <t xml:space="preserve">Semis jour racine - 5 ligne + moitié à la volée
</t>
    </r>
    <r>
      <rPr>
        <b/>
        <i/>
        <sz val="11"/>
        <color theme="1"/>
        <rFont val="Calibri"/>
        <family val="2"/>
        <scheme val="minor"/>
      </rPr>
      <t>Production : 21 bottes</t>
    </r>
    <r>
      <rPr>
        <sz val="11"/>
        <color theme="1"/>
        <rFont val="Calibri"/>
        <family val="2"/>
        <scheme val="minor"/>
      </rPr>
      <t xml:space="preserve">
Radis devenus piquants rapidemment - Trop chaud !!!
</t>
    </r>
  </si>
  <si>
    <t>5 br. Compost Vert</t>
  </si>
  <si>
    <t xml:space="preserve">Planté sur 8 rangs. Ajout de 2t/h d'Ovibio. </t>
  </si>
  <si>
    <t>Semé sur 3 ligne. Ajout de 2t/h d'Orga 3 dans la ligne de semis. Bonne production même si arrêté un peu précocemment par le froid</t>
  </si>
  <si>
    <t>Haricot Vert (Cupidon)</t>
  </si>
  <si>
    <t xml:space="preserve">Semé sur 3 ligne. 2t/h d'orga 3 avant plantation. Très mauvaise récolte. Croissance bien partie mais peut-être trop d'humidité. </t>
  </si>
  <si>
    <t>MaÏs Doux</t>
  </si>
  <si>
    <t xml:space="preserve">Ajout De 1t/h d'Orga 3 et 1t/h de tourteau de ricin à la plantation. 5 rangs de carotte et 4 rangs de Radis. Récolte assez moyenne avec des gabarits de carotte assez petits. </t>
  </si>
  <si>
    <t>Carotte "Touchon" / Radis "Geant de Sicile"</t>
  </si>
  <si>
    <t xml:space="preserve">Ajout de 1,5t/h de tourteau de ricin à la plantation. Planté sur 4 lignes à 25. Bien attatqué par les mulots au départ mais bonne récolte ensuite. </t>
  </si>
  <si>
    <t xml:space="preserve">Ajout De 1t/h d'Orga 3+1t/h de tourteau de ricin à la plantation. Planté sur 4 lignes à 30. Complétée avec Salade Till. Bonne production. </t>
  </si>
  <si>
    <t>Salade "Carmen"</t>
  </si>
  <si>
    <t>10t/h Fumier mouton+ 15t/h paille</t>
  </si>
  <si>
    <r>
      <t xml:space="preserve">Le dernier semis de l'année. A bien eu du mal à pousser mais production correcte. 
</t>
    </r>
    <r>
      <rPr>
        <b/>
        <i/>
        <sz val="11"/>
        <color theme="1"/>
        <rFont val="Calibri"/>
        <family val="2"/>
        <scheme val="minor"/>
      </rPr>
      <t>Production : 35 bottes</t>
    </r>
  </si>
  <si>
    <t>Raids (cherry belle et géant)</t>
  </si>
  <si>
    <r>
      <t xml:space="preserve">Semée à la place du mesclun sur les 2/3 de la planche. 
</t>
    </r>
    <r>
      <rPr>
        <b/>
        <i/>
        <sz val="11"/>
        <color theme="1"/>
        <rFont val="Calibri"/>
        <family val="2"/>
        <scheme val="minor"/>
      </rPr>
      <t>Production salade : 32 unités</t>
    </r>
  </si>
  <si>
    <t xml:space="preserve">Salade Batavia "Storina" - Gautier
</t>
  </si>
  <si>
    <r>
      <t xml:space="preserve">Semé sur 7 rangs avec radis pour conserver mieux l'humidité et convert avec filet bio. Pas trop mal sorti même si quelques trous.
</t>
    </r>
    <r>
      <rPr>
        <b/>
        <i/>
        <sz val="11"/>
        <color theme="1"/>
        <rFont val="Calibri"/>
        <family val="2"/>
        <scheme val="minor"/>
      </rPr>
      <t>Production : 30 bottes</t>
    </r>
  </si>
  <si>
    <t>Carotte (Touchon) - Essembio</t>
  </si>
  <si>
    <r>
      <t xml:space="preserve">Planter au plantoir sur 4 rangs puis inondés. Reprise unpeu difficile mais bonne croissance ensuite. Planches moins attaquée par les souris. 
</t>
    </r>
    <r>
      <rPr>
        <b/>
        <i/>
        <sz val="11"/>
        <color theme="1"/>
        <rFont val="Calibri"/>
        <family val="2"/>
        <scheme val="minor"/>
      </rPr>
      <t>Production : 26 kg</t>
    </r>
  </si>
  <si>
    <t>Poireau (Maxim)
essembio</t>
  </si>
  <si>
    <r>
      <t xml:space="preserve">Planter en jour feuille . Le mizu est vite monté en graine. Remplacement de la partie mizu/tatsoï par de la batavia Storina sur les 2/3 de la planche en juin. La FdC till fut récolté tardivement. Un peu de perte. Trop de salade cette année !!!
</t>
    </r>
    <r>
      <rPr>
        <b/>
        <i/>
        <sz val="11"/>
        <color theme="1"/>
        <rFont val="Calibri"/>
        <family val="2"/>
        <scheme val="minor"/>
      </rPr>
      <t>Production Mesclun : 3kg
Production Salade FdC :20 unités</t>
    </r>
  </si>
  <si>
    <t xml:space="preserve">Mesclun (Mixte Salade/Tatsoï/mizuna)+ Sala de Till + Salade bata
</t>
  </si>
  <si>
    <r>
      <t xml:space="preserve">Planter en jour feuille . Production bonne. Seul le mizu/tatsoï n'a pas duré très longtemps. 
</t>
    </r>
    <r>
      <rPr>
        <b/>
        <i/>
        <sz val="11"/>
        <color theme="1"/>
        <rFont val="Calibri"/>
        <family val="2"/>
        <scheme val="minor"/>
      </rPr>
      <t>Production : 13kg</t>
    </r>
  </si>
  <si>
    <t xml:space="preserve">Mesclun (Mixte Salade)+Mizuna+Tatsoï
</t>
  </si>
  <si>
    <r>
      <t xml:space="preserve">Semis en jour Fruit et couvert sous P17 jusque germination. 1 rang central de Salade cressonette ajouter en mars. Idée de rang de salade pas mal mais manque de lumière/tutorage et tendance à étouffer. Ne pas refaire car pas mal de perte. Production pt pois bonne. 
</t>
    </r>
    <r>
      <rPr>
        <b/>
        <i/>
        <sz val="11"/>
        <color theme="1"/>
        <rFont val="Calibri"/>
        <family val="2"/>
        <scheme val="minor"/>
      </rPr>
      <t>Production : 16kg</t>
    </r>
  </si>
  <si>
    <t>Petit pois (Merveille de Kelvedon)+Salade Cressonnette
Essembio</t>
  </si>
  <si>
    <r>
      <t xml:space="preserve">Betteraves ratées et derrière carotte très moyenne. Mauvaise Germination.
</t>
    </r>
    <r>
      <rPr>
        <b/>
        <i/>
        <sz val="11"/>
        <color theme="1"/>
        <rFont val="Calibri"/>
        <family val="2"/>
        <scheme val="minor"/>
      </rPr>
      <t>Temps de croissance : 100jrs
Production : 20 bottes</t>
    </r>
    <r>
      <rPr>
        <sz val="11"/>
        <color theme="1"/>
        <rFont val="Calibri"/>
        <family val="2"/>
        <scheme val="minor"/>
      </rPr>
      <t xml:space="preserve">
Conclusion : Pb de la levée en juille !!! Arroser beaucoup avant semis. </t>
    </r>
  </si>
  <si>
    <t xml:space="preserve">Betterave (ronde de detroit) - Girerd
Carotte (jaune du doubs) - essem bio
</t>
  </si>
  <si>
    <r>
      <t xml:space="preserve">Germination pas trop mal. Repiquage effectué. 
</t>
    </r>
    <r>
      <rPr>
        <b/>
        <i/>
        <sz val="11"/>
        <color theme="1"/>
        <rFont val="Calibri"/>
        <family val="2"/>
        <scheme val="minor"/>
      </rPr>
      <t>Tps de croissance : 60 jours
Production : 31 bottes</t>
    </r>
    <r>
      <rPr>
        <sz val="11"/>
        <color theme="1"/>
        <rFont val="Calibri"/>
        <family val="2"/>
        <scheme val="minor"/>
      </rPr>
      <t xml:space="preserve">
</t>
    </r>
  </si>
  <si>
    <t>Navet (Boule d'or)
Union</t>
  </si>
  <si>
    <r>
      <t xml:space="preserve">Pb de germination sur plateaux. Trop chaud !!
Peu de production - montée en graine rapide. Essai semis direct raté.
</t>
    </r>
    <r>
      <rPr>
        <b/>
        <i/>
        <sz val="11"/>
        <color theme="1"/>
        <rFont val="Calibri"/>
        <family val="2"/>
        <scheme val="minor"/>
      </rPr>
      <t>Temps de croissance Salade: 70 jours 
Production salade : 1 kg</t>
    </r>
    <r>
      <rPr>
        <sz val="11"/>
        <color theme="1"/>
        <rFont val="Calibri"/>
        <family val="2"/>
        <scheme val="minor"/>
      </rPr>
      <t xml:space="preserve">
Conclusion : Choisir une autre variété.</t>
    </r>
  </si>
  <si>
    <t>Epinard (Norman)
Essembio</t>
  </si>
  <si>
    <r>
      <t xml:space="preserve">TT Une semaine avt semis. Sous P17.
Bonne lévée. Un peu de temps dans l'éclaircissage. Très bon rendement. 
</t>
    </r>
    <r>
      <rPr>
        <b/>
        <i/>
        <sz val="11"/>
        <color theme="1"/>
        <rFont val="Calibri"/>
        <family val="2"/>
        <scheme val="minor"/>
      </rPr>
      <t>Tps de croissance : 95 jours
Production : 54 bottes</t>
    </r>
    <r>
      <rPr>
        <sz val="11"/>
        <color theme="1"/>
        <rFont val="Calibri"/>
        <family val="2"/>
        <scheme val="minor"/>
      </rPr>
      <t xml:space="preserve">
Conclusion : Belle réussite. A refaire. </t>
    </r>
  </si>
  <si>
    <t>Carotte (Nantaise Tip top)
Essembio</t>
  </si>
  <si>
    <r>
      <t xml:space="preserve">Bonne production et bonne saveur. Un peu négligé au niveau arrosage. 
</t>
    </r>
    <r>
      <rPr>
        <b/>
        <i/>
        <sz val="11"/>
        <color theme="1"/>
        <rFont val="Calibri"/>
        <family val="2"/>
        <scheme val="minor"/>
      </rPr>
      <t>Tps de croissance : 176 jours
Production :25 kg</t>
    </r>
    <r>
      <rPr>
        <sz val="11"/>
        <color theme="1"/>
        <rFont val="Calibri"/>
        <family val="2"/>
        <scheme val="minor"/>
      </rPr>
      <t xml:space="preserve">
Conclusion : A refaire mais vente moyenne. Peut-être 1 seule planche !!!</t>
    </r>
  </si>
  <si>
    <t>Panais (turga)
Essembio</t>
  </si>
  <si>
    <t>30t/h fumier cheval composté - 3 ans + 30t/h CV
+ 20t/h fumier mouton avt plantation</t>
  </si>
  <si>
    <t>30t/h fumier cheval composté - 3 ans + 30t/h CV</t>
  </si>
  <si>
    <t>Planté sur 3 lignes à 40 avec 2t/h de mélange tourteau/Orga 3 dans la ligne et une petite poignée dans le trou de plantation.  Croissance très mauvaise. Rempacée par des radis, un peu de fenouil et de chicorée. Bonn eproduction des radis et correcte pour le reste.</t>
  </si>
  <si>
    <t>Chou Fleur/Chou de Milan/ Radis (Raxe)</t>
  </si>
  <si>
    <t xml:space="preserve">Planté sur 3 lignes à 40 avec 2t/h de mélange tourteau/Orga 3 dans la ligne et une petite poignée dans le trou de plantation. Mauvaise production, les chou ont eu bien du mal à faire de belles pommes. Culture a ne plus faire. </t>
  </si>
  <si>
    <t>Chou Fleur/Chou de milan</t>
  </si>
  <si>
    <t>Carotte "Napoli F1" / Radis "Geant de Sicile"</t>
  </si>
  <si>
    <t xml:space="preserve">Ajout de 1t/h Tourteau de ricin avant plantation. Planter sur 3 rangs de salades et 3 rangs de Cébettes. Rajout de Carmen 2 semaines plus tard pour compléter. Bonne production aussi bien de salade que de Cébette. </t>
  </si>
  <si>
    <t>Cébette "Oignon Blanc"/Salade "Carmen"</t>
  </si>
  <si>
    <r>
      <t xml:space="preserve">Semis en pépinière ratée. Planche à peine remplie avec 5 pltx !!!
</t>
    </r>
    <r>
      <rPr>
        <b/>
        <i/>
        <sz val="11"/>
        <color theme="1"/>
        <rFont val="Calibri"/>
        <family val="2"/>
        <scheme val="minor"/>
      </rPr>
      <t>Production Blette : 34 bottes</t>
    </r>
  </si>
  <si>
    <t>Blette/poirée</t>
  </si>
  <si>
    <r>
      <t xml:space="preserve">Semé avec radis pour conserver mieux l'humidité et convert avec filet bio. Complétement raté par rapport à celle d'à côté qui n'est pas trop mal sorti. Remplacé par betterave et mesclun salade (salade plantée là où il y avait le Mizuna)
</t>
    </r>
    <r>
      <rPr>
        <b/>
        <i/>
        <sz val="11"/>
        <color theme="1"/>
        <rFont val="Calibri"/>
        <family val="2"/>
        <scheme val="minor"/>
      </rPr>
      <t xml:space="preserve">Production betterave : qqs bottes
Production mesclun : </t>
    </r>
  </si>
  <si>
    <t>Carotte (Rothild)-Essembio/betterave/mesclun</t>
  </si>
  <si>
    <r>
      <t xml:space="preserve">Planter en jour feuille. Bonne pousse mais peu récolté car profusion de mesclun. 
</t>
    </r>
    <r>
      <rPr>
        <b/>
        <i/>
        <sz val="11"/>
        <color theme="1"/>
        <rFont val="Calibri"/>
        <family val="2"/>
        <scheme val="minor"/>
      </rPr>
      <t>Production Mesclun : 7kg</t>
    </r>
  </si>
  <si>
    <r>
      <t xml:space="preserve">Betteraves ratées mais navet bien marché.
</t>
    </r>
    <r>
      <rPr>
        <b/>
        <i/>
        <sz val="11"/>
        <color theme="1"/>
        <rFont val="Calibri"/>
        <family val="2"/>
        <scheme val="minor"/>
      </rPr>
      <t>Temps de croissance  90 jours 
Production : 22 bottes</t>
    </r>
    <r>
      <rPr>
        <sz val="11"/>
        <color theme="1"/>
        <rFont val="Calibri"/>
        <family val="2"/>
        <scheme val="minor"/>
      </rPr>
      <t xml:space="preserve">
Conclusion : Pb de la levée en juille !!!</t>
    </r>
  </si>
  <si>
    <t xml:space="preserve">Betterave (ronde de detroit) - Girerd
Navet (boule d'or) - essem bio
</t>
  </si>
  <si>
    <r>
      <t xml:space="preserve">Germination pas trop mal. Repiquage effectué. 
</t>
    </r>
    <r>
      <rPr>
        <b/>
        <i/>
        <sz val="11"/>
        <color theme="1"/>
        <rFont val="Calibri"/>
        <family val="2"/>
        <scheme val="minor"/>
      </rPr>
      <t>Tps de croissance : 60 jours
Production : 22 bottes</t>
    </r>
    <r>
      <rPr>
        <sz val="11"/>
        <color theme="1"/>
        <rFont val="Calibri"/>
        <family val="2"/>
        <scheme val="minor"/>
      </rPr>
      <t xml:space="preserve">
</t>
    </r>
  </si>
  <si>
    <t>Betterave (Crapaud)
Union</t>
  </si>
  <si>
    <r>
      <t xml:space="preserve">Semé un peu tard. Première récolte fin novembre. Les topsi neposse pas très bien au froid.
</t>
    </r>
    <r>
      <rPr>
        <b/>
        <i/>
        <sz val="11"/>
        <color theme="1"/>
        <rFont val="Calibri"/>
        <family val="2"/>
        <scheme val="minor"/>
      </rPr>
      <t>Production : environ 15 bottes</t>
    </r>
  </si>
  <si>
    <r>
      <t xml:space="preserve">Pb de germination sur plateaux. Trop chaud !!
Peu de production - montée en graine rapide. Essai semis direct raté.
</t>
    </r>
    <r>
      <rPr>
        <b/>
        <i/>
        <sz val="11"/>
        <color theme="1"/>
        <rFont val="Calibri"/>
        <family val="2"/>
        <scheme val="minor"/>
      </rPr>
      <t/>
    </r>
  </si>
  <si>
    <t>Plantée sur 7 lignes</t>
  </si>
  <si>
    <t>Ajout de 1t/h Orga 3 et 1t/h Tourteau de ricin à la plantation. 3 rangs de fenouil. Pour une fois, de beaux fenouils bien bulbés.</t>
  </si>
  <si>
    <t>Fenouil (Rondo F1)</t>
  </si>
  <si>
    <t>Planté sur 3 lignes à 40 avec 2t/h de mélange tourteau/Orga 3 dans la ligne et une petite poignée dans le trou de plantation. Comme à l'habitude avec cette culture rentabilité très moyenne.</t>
  </si>
  <si>
    <t xml:space="preserve">Ajout De 1t/h d'Orga 3 à la plantation. Très mauvaise reprise et au final planche très clairsemée. </t>
  </si>
  <si>
    <t>oignon rouge "folrence/amposta"</t>
  </si>
  <si>
    <t xml:space="preserve">Ajout De 1t/h d'Orga 3+1t/h de tourteau de ricin à la plantation. Planté sur 3 lignes à 30. Pousse très inégale avec le rang central plus jolie que sur les côté mais au final, ils ont aussi finit par pommer. Récolte très correct mais mis sous voile à cause des punaises. </t>
  </si>
  <si>
    <t>Chou Chinois "Kaboko" F1</t>
  </si>
  <si>
    <t xml:space="preserve">Ajout de 1t/h Tourteau de ricin avant plantation. Planter sur 3 rangs de salades et 3 rangs de Cébettes. Bonne production aussi bien de salade que de Cébette. </t>
  </si>
  <si>
    <t>Cébette "Oignon Blanc"/Salade "Cressonette"</t>
  </si>
  <si>
    <r>
      <t xml:space="preserve">3 rangs de Fenouil intercalé avec 2 rangs de Salades. Production très moyenne de salade. Mieux pour les fenouil. Le total de production prends également en compte une repousse des fenouils du printemps venant d'une autre planche. 
</t>
    </r>
    <r>
      <rPr>
        <b/>
        <i/>
        <sz val="11"/>
        <color theme="1"/>
        <rFont val="Calibri"/>
        <family val="2"/>
        <scheme val="minor"/>
      </rPr>
      <t>Production salade : 8 unités
Production fenouil : 28 kg</t>
    </r>
    <r>
      <rPr>
        <sz val="11"/>
        <color theme="1"/>
        <rFont val="Calibri"/>
        <family val="2"/>
        <scheme val="minor"/>
      </rPr>
      <t xml:space="preserve">
</t>
    </r>
  </si>
  <si>
    <t>Fenouil "Rondo" (Voltz)/Salade (cressonette et Till)</t>
  </si>
  <si>
    <r>
      <t xml:space="preserve">Planter au plantoir sur 4 rangs puis inondés. Reprise unpeu difficile mais bonne croissance ensuite.
</t>
    </r>
    <r>
      <rPr>
        <b/>
        <i/>
        <sz val="11"/>
        <color theme="1"/>
        <rFont val="Calibri"/>
        <family val="2"/>
        <scheme val="minor"/>
      </rPr>
      <t>Production Poireaux : 15 kg</t>
    </r>
  </si>
  <si>
    <r>
      <t xml:space="preserve">Dernier essai de semis, sous voile avec radis. 2 rangs bien sorti mais le reste pas bon. Rempalcé par une dernière série de meslcun. La production de mesclun comprend du mizuma, du tatsoï, des feuilles de betterave et d'épinard cultivée sur d'autre planches. 
</t>
    </r>
    <r>
      <rPr>
        <b/>
        <i/>
        <sz val="11"/>
        <color theme="1"/>
        <rFont val="Calibri"/>
        <family val="2"/>
        <scheme val="minor"/>
      </rPr>
      <t>Production mesclun : 20 kg</t>
    </r>
  </si>
  <si>
    <t>Carotte Touchon (essembio)/Mesclun</t>
  </si>
  <si>
    <r>
      <t xml:space="preserve">Semé sur 4,5 rangs en association avec les Radis. Association correcte car bonne levée des 2 cultures mais desherbage fastidieux des poireaux une fois les radis terminés. 
</t>
    </r>
    <r>
      <rPr>
        <b/>
        <i/>
        <sz val="11"/>
        <color theme="1"/>
        <rFont val="Calibri"/>
        <family val="2"/>
        <scheme val="minor"/>
      </rPr>
      <t>Production Radis : 30 botte sur 2 semaines.
Production plants poireaux : Environ 800</t>
    </r>
  </si>
  <si>
    <t>Pépinière poireau (Maxim) + Radis Cherry Belle</t>
  </si>
  <si>
    <r>
      <t xml:space="preserve">Semis en jour racine sur 4 rang. Bonne germination mais les navets sont restés assez petits. Pas mal attaqués au niveau des feuilles. 
</t>
    </r>
    <r>
      <rPr>
        <b/>
        <i/>
        <sz val="11"/>
        <color theme="1"/>
        <rFont val="Calibri"/>
        <family val="2"/>
        <scheme val="minor"/>
      </rPr>
      <t>Production 28 bottes+7kg en vrac</t>
    </r>
  </si>
  <si>
    <t>Navet jaune (boule d'or)
Essembio</t>
  </si>
  <si>
    <t>Rien ne marche vraiement en juillet. Trop chaud.
Quelques bottes récoltées et un peu de radis noir.</t>
  </si>
  <si>
    <t xml:space="preserve">Carotte (jaune du doubs) - Essembio
Radis noir (long maraicher) - union
Navet (violet blanc globe)
</t>
  </si>
  <si>
    <r>
      <t xml:space="preserve">Sous P17. Croissance et production très bonne pour le mesclun.
Récolte Mesclun sur 6 semaines. 
</t>
    </r>
    <r>
      <rPr>
        <b/>
        <i/>
        <sz val="11"/>
        <color theme="1"/>
        <rFont val="Calibri"/>
        <family val="2"/>
        <scheme val="minor"/>
      </rPr>
      <t>Temps de croissance Salade: 70 jours / Temps de croissance Mesclun 50 jours
Production salade : 50 unités/ Production Mesclun  : 8kg</t>
    </r>
    <r>
      <rPr>
        <sz val="11"/>
        <color theme="1"/>
        <rFont val="Calibri"/>
        <family val="2"/>
        <scheme val="minor"/>
      </rPr>
      <t xml:space="preserve">
Conclusion : Choisir une autre variété. Saveur pas top. </t>
    </r>
  </si>
  <si>
    <t>Salade (lolo rossa) - Essembio
Mesclun (Mizuna/FdC) - Germinance</t>
  </si>
  <si>
    <r>
      <t xml:space="preserve">Première série de l'année. Arrivée un peu en avance. Trop Tôt et pas génial. 
</t>
    </r>
    <r>
      <rPr>
        <b/>
        <i/>
        <sz val="11"/>
        <color theme="1"/>
        <rFont val="Calibri"/>
        <family val="2"/>
        <scheme val="minor"/>
      </rPr>
      <t>Tps de croissance : 33 jours
Production : 15 bottes</t>
    </r>
    <r>
      <rPr>
        <sz val="11"/>
        <color theme="1"/>
        <rFont val="Calibri"/>
        <family val="2"/>
        <scheme val="minor"/>
      </rPr>
      <t xml:space="preserve">
Conclusion : Semé plus tard : 6 lignes+volée</t>
    </r>
  </si>
  <si>
    <t>Radis (Rond à Bout blanc)
Girerd</t>
  </si>
  <si>
    <r>
      <rPr>
        <sz val="11"/>
        <color theme="1"/>
        <rFont val="Calibri"/>
        <family val="2"/>
        <scheme val="minor"/>
      </rPr>
      <t>Semis trop serré non éclaircit. Oublié sous P17. Rattage !!!</t>
    </r>
    <r>
      <rPr>
        <b/>
        <i/>
        <sz val="11"/>
        <color theme="1"/>
        <rFont val="Calibri"/>
        <family val="2"/>
        <scheme val="minor"/>
      </rPr>
      <t xml:space="preserve">
Tps de croissance : 64 jours
production : 15 bottes + 1kg</t>
    </r>
  </si>
  <si>
    <t>Navet (boule d'or)
Essembio</t>
  </si>
  <si>
    <t>30t/h fumier cheval composté - 3 ans + 30t/h CV
Rajout de 20t/h de fumier mouton en janvier</t>
  </si>
  <si>
    <t>Plantée sur 7 lignes. Planche 1/3 en Blette</t>
  </si>
  <si>
    <t>Mesclun 15 et 16/Blette</t>
  </si>
  <si>
    <t>Planté sur 4 ligne. Production correcte pour la saison (encore très chaud)</t>
  </si>
  <si>
    <t>Salade (carmen)</t>
  </si>
  <si>
    <t xml:space="preserve">Ajout De 1t/h d'Orga 3 à la plantation. Récolte correcte mais jaoritairement en frais. </t>
  </si>
  <si>
    <t>oignon jaune "Cénol"</t>
  </si>
  <si>
    <t xml:space="preserve">Ajout de 1t/h d'orga 3 à la plantation. Semés sur 3 lignes (1 lignes de plus donc que par rapport à 2016). Semés 4 jours après les 2 première planches. Complété avec un semis réalisé en plateaux (mieux levé que les deux premières planches mais des trous tout de même).  Tombé malade après les gels d'avril, ils ont tout de même donné correctement aux vue de l'état assez misérable de la plante. </t>
  </si>
  <si>
    <t>Pt pois (Merveille de kelvedon)</t>
  </si>
  <si>
    <r>
      <t xml:space="preserve">Escpacée à 40cm sur 3 rangs. Attaquée par les mulots comme partout mais production correcte. 
</t>
    </r>
    <r>
      <rPr>
        <b/>
        <i/>
        <sz val="11"/>
        <color theme="1"/>
        <rFont val="Calibri"/>
        <family val="2"/>
        <scheme val="minor"/>
      </rPr>
      <t>Production : 44 unités</t>
    </r>
  </si>
  <si>
    <t>Chicorée Sucrine "Virtus" et "Scarole Géante"</t>
  </si>
  <si>
    <r>
      <t xml:space="preserve">Iceberg montée en graine rapidemment mais production correcte des carmen. 
</t>
    </r>
    <r>
      <rPr>
        <b/>
        <i/>
        <sz val="11"/>
        <color theme="1"/>
        <rFont val="Calibri"/>
        <family val="2"/>
        <scheme val="minor"/>
      </rPr>
      <t>Production : 60 unités</t>
    </r>
  </si>
  <si>
    <t>Salade "Carmen" et Iceberg</t>
  </si>
  <si>
    <r>
      <t xml:space="preserve">Tétragone sur 2 rang et persil 2/3 rangs. La tétragone n'a rien donné, zéro pointé. Le persil a en revanche bien donné jusqu'à l'hiver. 
</t>
    </r>
    <r>
      <rPr>
        <b/>
        <sz val="11"/>
        <color theme="1"/>
        <rFont val="Calibri"/>
        <family val="2"/>
        <scheme val="minor"/>
      </rPr>
      <t>Production Persil : 100 bottes</t>
    </r>
  </si>
  <si>
    <t>Tétragone/Persil</t>
  </si>
  <si>
    <r>
      <t xml:space="preserve">Semé sur 5 rangs en association avec les Radis. Association correcte car bonne levée des 2 cultures mais desherbage fastidieux des poireaux une fois les radis terminés. 
</t>
    </r>
    <r>
      <rPr>
        <b/>
        <i/>
        <sz val="11"/>
        <color theme="1"/>
        <rFont val="Calibri"/>
        <family val="2"/>
        <scheme val="minor"/>
      </rPr>
      <t>Production Radis : 31 bottes sur 2 semaines.
Production plants poireaux : Environ 800</t>
    </r>
  </si>
  <si>
    <r>
      <t xml:space="preserve">Planter en jour feuille -  Persil en inter rang. Les persil ont eu du mal à faire leur place et les chou, même si ils ont bien poussé dans l'ensemble étaient aussi un peu serrés. 
</t>
    </r>
    <r>
      <rPr>
        <b/>
        <i/>
        <sz val="11"/>
        <color theme="1"/>
        <rFont val="Calibri"/>
        <family val="2"/>
        <scheme val="minor"/>
      </rPr>
      <t>Production Persil : 55 bottes
Production Chou Rave : 107</t>
    </r>
  </si>
  <si>
    <t>Chou Rave (Delikates) + Persil Commun
Voltz</t>
  </si>
  <si>
    <r>
      <t xml:space="preserve">Semis hors période sur 4 rangs. 2 rangs extérieur moyennement réussi. Complété avec de la salade Cressonette. Navet moyennement réussi. Tendance à prendre trop de place au niveau des feuilles. 
</t>
    </r>
    <r>
      <rPr>
        <b/>
        <i/>
        <sz val="11"/>
        <color theme="1"/>
        <rFont val="Calibri"/>
        <family val="2"/>
        <scheme val="minor"/>
      </rPr>
      <t>Production Navet : 28 bottes
Production Salade : 15 unité</t>
    </r>
  </si>
  <si>
    <t>Navet jaune (boule d'or)+ Salade Cressonnette
Essembio</t>
  </si>
  <si>
    <t>Rien ne marche vraiement en juillet. Trop chaud.
Quelques bottes récolté de chaque.</t>
  </si>
  <si>
    <t xml:space="preserve">Carotte (nantaise tip top) - Essembio
Navet (jaune petrowski) - Germinance
</t>
  </si>
  <si>
    <r>
      <t xml:space="preserve">Difficulté de faire germer lorsqu'il fait chaud. Même arrosé régulièrement.
</t>
    </r>
    <r>
      <rPr>
        <b/>
        <i/>
        <sz val="11"/>
        <color theme="1"/>
        <rFont val="Calibri"/>
        <family val="2"/>
        <scheme val="minor"/>
      </rPr>
      <t>Tps de croissance :  100 jrs
Production : 11 bottes</t>
    </r>
    <r>
      <rPr>
        <sz val="11"/>
        <color theme="1"/>
        <rFont val="Calibri"/>
        <family val="2"/>
        <scheme val="minor"/>
      </rPr>
      <t xml:space="preserve">
</t>
    </r>
  </si>
  <si>
    <r>
      <t xml:space="preserve">Premier radis semé pour l'automne. Encore assez piquant. Pas de soucis sinon. 
</t>
    </r>
    <r>
      <rPr>
        <b/>
        <i/>
        <sz val="11"/>
        <color theme="1"/>
        <rFont val="Calibri"/>
        <family val="2"/>
        <scheme val="minor"/>
      </rPr>
      <t>Tps de croissance : 25 jours
Production : 42 bottes</t>
    </r>
  </si>
  <si>
    <t>Radis (Rond à Bout Blanc)
Girerd</t>
  </si>
  <si>
    <t>Impasse de culture. Essai de récolte grateron.
Arraché mais pas récolté !!!</t>
  </si>
  <si>
    <r>
      <t xml:space="preserve">Bonne production et bonne saveur. 
</t>
    </r>
    <r>
      <rPr>
        <b/>
        <i/>
        <sz val="11"/>
        <color theme="1"/>
        <rFont val="Calibri"/>
        <family val="2"/>
        <scheme val="minor"/>
      </rPr>
      <t xml:space="preserve">Tps de croissance : 70 jours
Production : 32 bottes. </t>
    </r>
    <r>
      <rPr>
        <sz val="11"/>
        <color theme="1"/>
        <rFont val="Calibri"/>
        <family val="2"/>
        <scheme val="minor"/>
      </rPr>
      <t xml:space="preserve">
Conclusion : Combler les trous en repiquant lors de l'éclaircissage</t>
    </r>
  </si>
  <si>
    <t>Betterave (ronde de détroit)
Girerd</t>
  </si>
  <si>
    <t xml:space="preserve">Plantée sur 4 lignes. Ajout 1t/h de tourteau dans la ligne de plantation. Croissance au départ assez mauvaise. Plant nétoyé complétement et ensuite butté un peu. Ensuite très bonne croissance avec plusieurs passage. </t>
  </si>
  <si>
    <t xml:space="preserve">Blette </t>
  </si>
  <si>
    <t>Ajout de 1t/h Orga 3 et 1t/h Tourteau de ricin à la plantation. Planté sur 4 rang à 30. Production moyenne car variété un peu étranges.</t>
  </si>
  <si>
    <t>Chicorée (Sucrine/Didier)</t>
  </si>
  <si>
    <t xml:space="preserve">Plantée sur 6 lignes. 10t/h de fumier de mouton avant plantation. Production assez moyenne car rapidemment monté en graine. </t>
  </si>
  <si>
    <t>mesclun/Salade (carmen)</t>
  </si>
  <si>
    <t xml:space="preserve">Ajout De 1t/h d'Orga 3+1t/h de tourteau de ricin à la plantation. Semées sur 7 lignes. Production correcte. Pas de soucis particuliers. </t>
  </si>
  <si>
    <t>Carotte "Napoli F1"</t>
  </si>
  <si>
    <t>Plantées sur 4 rangs sur la moitiée de planche. Complétée avec semis Radis noir et Radis Red meat.</t>
  </si>
  <si>
    <t>Poirée (Voltz) "A Carde blanche"</t>
  </si>
  <si>
    <r>
      <t xml:space="preserve">Planter au plantoir sur 4 rangs puis inondés. Reprise unpeu difficile mais bonne croissance ensuite. 
</t>
    </r>
    <r>
      <rPr>
        <b/>
        <i/>
        <sz val="11"/>
        <color theme="1"/>
        <rFont val="Calibri"/>
        <family val="2"/>
        <scheme val="minor"/>
      </rPr>
      <t>Production poireaux : 15 kg</t>
    </r>
  </si>
  <si>
    <r>
      <t xml:space="preserve">Dernier essai de semis, sous voile avec radis. Semis encore raté, remplacé par du radis noir et un peu de navet. Malheureusement non couvert et tout a été bouffé par les punaises. 
</t>
    </r>
    <r>
      <rPr>
        <b/>
        <i/>
        <sz val="11"/>
        <color theme="1"/>
        <rFont val="Calibri"/>
        <family val="2"/>
        <scheme val="minor"/>
      </rPr>
      <t>Production navet : qqs kg
Production Radis noir : 25 kg</t>
    </r>
  </si>
  <si>
    <t xml:space="preserve">Carotte Napoli F1 (essembio)/ Radis noir (essembio) </t>
  </si>
  <si>
    <r>
      <t xml:space="preserve">3 rangs semés à 30 ds petit sillon puis paillage épais. Très bonne production. Une belle réussite de l'année. Facile à récolter car patates non enterrées. 
</t>
    </r>
    <r>
      <rPr>
        <b/>
        <i/>
        <sz val="11"/>
        <color theme="1"/>
        <rFont val="Calibri"/>
        <family val="2"/>
        <scheme val="minor"/>
      </rPr>
      <t>Production : 55kg (Dont 20kh en nouvelles)</t>
    </r>
  </si>
  <si>
    <t>PdT "Kuroda" Dany</t>
  </si>
  <si>
    <r>
      <t>Planter en jour fleur -   Le fenouil n'a pas tenu l'arrivée des chaleurs. Prochaine fois, faire une seule planche sur 3 car un peu trop serré et pas trop de demande.</t>
    </r>
    <r>
      <rPr>
        <b/>
        <i/>
        <sz val="11"/>
        <color theme="1"/>
        <rFont val="Calibri"/>
        <family val="2"/>
        <scheme val="minor"/>
      </rPr>
      <t xml:space="preserve">
Production Fenouil : 16 kg</t>
    </r>
  </si>
  <si>
    <t>Fenouil  (Preludio F1-Voltz)+coriandre</t>
  </si>
  <si>
    <r>
      <t xml:space="preserve">Repiquage de plant sur 5 rangs. Bonne production mais peu enracinée. Planche complétée avec mizu.
</t>
    </r>
    <r>
      <rPr>
        <b/>
        <i/>
        <sz val="11"/>
        <color theme="1"/>
        <rFont val="Calibri"/>
        <family val="2"/>
        <scheme val="minor"/>
      </rPr>
      <t>Production : 30 bottes
Production Mizu : 2kg</t>
    </r>
  </si>
  <si>
    <t>Betterave 2 Détroit//mizu</t>
  </si>
  <si>
    <t>Planche gardée pendant l'hiver pour les salades</t>
  </si>
  <si>
    <r>
      <t xml:space="preserve">Croissance correcte mais arrivé un peu tard. Fin des paniers en décembre. </t>
    </r>
    <r>
      <rPr>
        <b/>
        <i/>
        <sz val="11"/>
        <color theme="1"/>
        <rFont val="Calibri"/>
        <family val="2"/>
        <scheme val="minor"/>
      </rPr>
      <t xml:space="preserve">
Production : 10kg</t>
    </r>
  </si>
  <si>
    <t>Epinard (verdil) -essembio</t>
  </si>
  <si>
    <r>
      <t xml:space="preserve">Croissance correcte mais arrivé un peu tard. Fin des paniers en décembre. </t>
    </r>
    <r>
      <rPr>
        <b/>
        <i/>
        <sz val="11"/>
        <color theme="1"/>
        <rFont val="Calibri"/>
        <family val="2"/>
        <scheme val="minor"/>
      </rPr>
      <t xml:space="preserve">
Production : 20 unités</t>
    </r>
  </si>
  <si>
    <t>Salade (scarole)
Essembio/Germinance</t>
  </si>
  <si>
    <r>
      <t xml:space="preserve">Trop chaud pour du mesclun
</t>
    </r>
    <r>
      <rPr>
        <b/>
        <i/>
        <sz val="11"/>
        <color theme="1"/>
        <rFont val="Calibri"/>
        <family val="2"/>
        <scheme val="minor"/>
      </rPr>
      <t>Tps de croissance : 70 jours
Production : 3 kg</t>
    </r>
    <r>
      <rPr>
        <sz val="11"/>
        <color theme="1"/>
        <rFont val="Calibri"/>
        <family val="2"/>
        <scheme val="minor"/>
      </rPr>
      <t xml:space="preserve">
Conclusion : Ne plus jamais le faire !!!</t>
    </r>
  </si>
  <si>
    <r>
      <t xml:space="preserve">Chou haut sur leur tige également mais meilleur production que logo vert.
</t>
    </r>
    <r>
      <rPr>
        <b/>
        <i/>
        <sz val="11"/>
        <color theme="1"/>
        <rFont val="Calibri"/>
        <family val="2"/>
        <scheme val="minor"/>
      </rPr>
      <t>Temps de croissance : 90 jours
Production : 65 unités</t>
    </r>
    <r>
      <rPr>
        <sz val="11"/>
        <color theme="1"/>
        <rFont val="Calibri"/>
        <family val="2"/>
        <scheme val="minor"/>
      </rPr>
      <t xml:space="preserve">
Conclusion : Choisir une autre variété. Saveur pas top. </t>
    </r>
  </si>
  <si>
    <t>Chou Rave (logo Vert)
Essembio</t>
  </si>
  <si>
    <r>
      <t xml:space="preserve">Pas mis de P17. Trop Chaud. 
</t>
    </r>
    <r>
      <rPr>
        <b/>
        <i/>
        <sz val="11"/>
        <color theme="1"/>
        <rFont val="Calibri"/>
        <family val="2"/>
        <scheme val="minor"/>
      </rPr>
      <t>Tps de croissance : 36 jours
Production : 8 bottes (en une semaine)</t>
    </r>
    <r>
      <rPr>
        <sz val="11"/>
        <color theme="1"/>
        <rFont val="Calibri"/>
        <family val="2"/>
        <scheme val="minor"/>
      </rPr>
      <t xml:space="preserve">
Conclusion : Ne plus jamais le faire !!!</t>
    </r>
  </si>
  <si>
    <r>
      <t xml:space="preserve">Semis direct - même jour que les mottes. 
Moins bonne réussite que les Cévennes mais correcte tout de même.
</t>
    </r>
    <r>
      <rPr>
        <b/>
        <i/>
        <sz val="11"/>
        <color theme="1"/>
        <rFont val="Calibri"/>
        <family val="2"/>
        <scheme val="minor"/>
      </rPr>
      <t>Tps de croissance : 110 jours(20 jours de plus qu'avec les mottes)</t>
    </r>
    <r>
      <rPr>
        <sz val="11"/>
        <color theme="1"/>
        <rFont val="Calibri"/>
        <family val="2"/>
        <scheme val="minor"/>
      </rPr>
      <t xml:space="preserve">
</t>
    </r>
    <r>
      <rPr>
        <b/>
        <i/>
        <sz val="11"/>
        <color theme="1"/>
        <rFont val="Calibri"/>
        <family val="2"/>
        <scheme val="minor"/>
      </rPr>
      <t>Production : 32 bottes(dont 21 en cébette)+ 8kg en sec</t>
    </r>
  </si>
  <si>
    <t>Oignon (morada)
Germinance</t>
  </si>
  <si>
    <t>30t/h fumier cheval frais + 20t/h CV</t>
  </si>
  <si>
    <t>50t/h CV+ TT couverture</t>
  </si>
  <si>
    <t>30t/h fumier cheval composté - 3 ans 
Rajout de 20t/h de fumier mouton en janvier</t>
  </si>
  <si>
    <t>Planté sur 8 rangs. Ajout de 2t/h d'Ovibio. Planche incomplète</t>
  </si>
  <si>
    <t>Plantée sur 4 lignes. Ajout 1t/h de tourteau dans la ligne de plantation. Croissance correcte mais un peu attaquées par le froid</t>
  </si>
  <si>
    <t>Ajout de 1t/h Orga 3 et 1t/h Tourteau de ricin à la plantation. Planté sur 4 rang à 30. Bonne production, pas trop attaquée par les mulots.</t>
  </si>
  <si>
    <t>Chicorée (Sucrine)</t>
  </si>
  <si>
    <t>Plantée sur 6 lignes. Production correcte mais assez rapidemment attaqué (encore trop chaud).</t>
  </si>
  <si>
    <t>mesclun (exclusivement crucifère)</t>
  </si>
  <si>
    <t>Carotte "Touchon"</t>
  </si>
  <si>
    <t xml:space="preserve">Ajout de 1t/h d'Orga 3 à la plantation.Semés sur 3 lignes (1 lignes de plus donc que par rapport à 2016).  Problème levée. Complétée avec une série semée plus tard en plateaux.  Tombé malade après les gels d'avril, ils ont tout de même donné correctement aux vue de l'état assez misérable de la plante. </t>
  </si>
  <si>
    <r>
      <t xml:space="preserve">Dernier semis de l'année. Pas trop réussi. Une petite gelée dessus et trop froid en général. 
</t>
    </r>
    <r>
      <rPr>
        <b/>
        <i/>
        <sz val="11"/>
        <color theme="1"/>
        <rFont val="Calibri"/>
        <family val="2"/>
        <scheme val="minor"/>
      </rPr>
      <t>Production : qqs kg</t>
    </r>
  </si>
  <si>
    <t>Haricot Vert "Cupidon" (Gautier)</t>
  </si>
  <si>
    <r>
      <t xml:space="preserve">Mauvais semis. Navets planté sur les 2/3 complété avec mizu. Plantation difficile due aux racines de fenouil restées en terre. Planche non couverte et attaquée méchantes pour les punaises. 
</t>
    </r>
    <r>
      <rPr>
        <b/>
        <i/>
        <sz val="11"/>
        <color theme="1"/>
        <rFont val="Calibri"/>
        <family val="2"/>
        <scheme val="minor"/>
      </rPr>
      <t>Production navet : qqs kg</t>
    </r>
  </si>
  <si>
    <t>Navet "boule d'or" + Mizu</t>
  </si>
  <si>
    <r>
      <t xml:space="preserve">Planter au plantoir sur 4 rangs puis inondés. Un peu trop arrosé au départ, reprise difficile. Ensuite, pas mal bouffé par les souris (Au moins 20%). 
</t>
    </r>
    <r>
      <rPr>
        <b/>
        <i/>
        <sz val="11"/>
        <color theme="1"/>
        <rFont val="Calibri"/>
        <family val="2"/>
        <scheme val="minor"/>
      </rPr>
      <t>Production : 16 kg</t>
    </r>
  </si>
  <si>
    <r>
      <t xml:space="preserve">Planter en jour fleur -  Coriandre en inter rang. Coriandre rapidemment montée en graine et le fenouil n'a pas tenu l'arrivée des chaleurs.  Prochaine fois, faire une seule planche sur 3 car un peu trop serré et pas trop de demande.
</t>
    </r>
    <r>
      <rPr>
        <b/>
        <i/>
        <sz val="11"/>
        <color theme="1"/>
        <rFont val="Calibri"/>
        <family val="2"/>
        <scheme val="minor"/>
      </rPr>
      <t>Production Coriandre : 37 bottes
Production Fenouil : 16 kg</t>
    </r>
  </si>
  <si>
    <r>
      <t xml:space="preserve">Repiquage de plant sur 5 rangs. Bonne production mais peu enracinée. Planche complétée avec mizu.
</t>
    </r>
    <r>
      <rPr>
        <b/>
        <i/>
        <sz val="11"/>
        <color theme="1"/>
        <rFont val="Calibri"/>
        <family val="2"/>
        <scheme val="minor"/>
      </rPr>
      <t>Production : 43 bottes</t>
    </r>
  </si>
  <si>
    <t>Betterave 2 Détroit</t>
  </si>
  <si>
    <r>
      <t xml:space="preserve">Quasiemment rien sur les salade et un peu mieux sur le mesclun. Trop Chaud !!!
</t>
    </r>
    <r>
      <rPr>
        <b/>
        <i/>
        <sz val="11"/>
        <color theme="1"/>
        <rFont val="Calibri"/>
        <family val="2"/>
        <scheme val="minor"/>
      </rPr>
      <t xml:space="preserve">Tps de croissance : 70 jours
Production : 4 unités de salades et 4 kg de mesclun. </t>
    </r>
    <r>
      <rPr>
        <sz val="11"/>
        <color theme="1"/>
        <rFont val="Calibri"/>
        <family val="2"/>
        <scheme val="minor"/>
      </rPr>
      <t xml:space="preserve">
Conclusion : Laisser tomber les salades en cette période. </t>
    </r>
  </si>
  <si>
    <t>Salade (Pierre bénite/Rougette/Pasquier)/mesclun
Germiance/essembio</t>
  </si>
  <si>
    <r>
      <t xml:space="preserve">
</t>
    </r>
    <r>
      <rPr>
        <sz val="11"/>
        <color theme="1"/>
        <rFont val="Calibri"/>
        <family val="2"/>
        <scheme val="minor"/>
      </rPr>
      <t xml:space="preserve">
</t>
    </r>
  </si>
  <si>
    <r>
      <t xml:space="preserve">Chou haut sur leur tige. Production très mauvaise. Ne grossi pas. 
</t>
    </r>
    <r>
      <rPr>
        <b/>
        <i/>
        <sz val="11"/>
        <color theme="1"/>
        <rFont val="Calibri"/>
        <family val="2"/>
        <scheme val="minor"/>
      </rPr>
      <t>Temps de croissance : 110 jours
Production : 16 unités</t>
    </r>
    <r>
      <rPr>
        <sz val="11"/>
        <color theme="1"/>
        <rFont val="Calibri"/>
        <family val="2"/>
        <scheme val="minor"/>
      </rPr>
      <t xml:space="preserve">
Conclusion : Eviter cette variété. Pb fertilisation ??</t>
    </r>
  </si>
  <si>
    <t xml:space="preserve">Bonne efficacité de la Toile Tissée. Très peu besoin de desherbage
Seulement deux lignes semées. Pas assez pour la plantation derrière. </t>
  </si>
  <si>
    <t>Pépinière Poireaux</t>
  </si>
  <si>
    <r>
      <t xml:space="preserve">Semis direct - même jour que les mottes. 
Meilleurs productivité que pour les mottes mais un peu plus long. Belle réussite. 
</t>
    </r>
    <r>
      <rPr>
        <b/>
        <i/>
        <sz val="11"/>
        <color theme="1"/>
        <rFont val="Calibri"/>
        <family val="2"/>
        <scheme val="minor"/>
      </rPr>
      <t>Tps de croissance : 110 jours(20 jours de plus qu'avec les mottes)</t>
    </r>
    <r>
      <rPr>
        <sz val="11"/>
        <color theme="1"/>
        <rFont val="Calibri"/>
        <family val="2"/>
        <scheme val="minor"/>
      </rPr>
      <t xml:space="preserve">
</t>
    </r>
    <r>
      <rPr>
        <b/>
        <i/>
        <sz val="11"/>
        <color theme="1"/>
        <rFont val="Calibri"/>
        <family val="2"/>
        <scheme val="minor"/>
      </rPr>
      <t>Production : 47 bottes(dont 16 en cébette)+ 8kg en sec</t>
    </r>
  </si>
  <si>
    <t>Oignon (jaune de Cévenne)
Germinance</t>
  </si>
  <si>
    <t xml:space="preserve">Planté sur 8 rangs. Ajout de 2t/h d'ovinalp avant plantation. </t>
  </si>
  <si>
    <t>Plantée sur 4 lignes. Planche complétée avec du Persil.</t>
  </si>
  <si>
    <t>Salade (Carmen)/Persil3/blettes</t>
  </si>
  <si>
    <t xml:space="preserve">Semé sur 9 rangs. Planche un peu retournée par les sanglier. La production s'est bien reprise et au final, on s'en sort pas si mal. </t>
  </si>
  <si>
    <t>Radis (Géant)</t>
  </si>
  <si>
    <t>mesclun</t>
  </si>
  <si>
    <t>Ajout De 1t/h d'Orga 3+1t/h de tourteau de ricin à la plantation. Chou Rave sur 3 rang et 2 rangs de Persil intercalé. Bonne production de persil jusque septembre.</t>
  </si>
  <si>
    <t>Chou Rave "Delikatess" / Persil</t>
  </si>
  <si>
    <r>
      <t xml:space="preserve">Mauvais semis, 2 pltx  sur 1 planche. Iceberg montée en graine très rapidemment. A planter plus tard.
</t>
    </r>
    <r>
      <rPr>
        <b/>
        <i/>
        <sz val="11"/>
        <color theme="1"/>
        <rFont val="Calibri"/>
        <family val="2"/>
        <scheme val="minor"/>
      </rPr>
      <t>Production Salade : 50 unités.</t>
    </r>
  </si>
  <si>
    <t>Salade "Carmen" et "Iceberg"</t>
  </si>
  <si>
    <r>
      <t xml:space="preserve">3 rangs semés à 30 ds petit sillon puis paillage épais. Très bonne production. Une belle réussite de l'année. Facile à récolter car patates non enterrées. 
</t>
    </r>
    <r>
      <rPr>
        <b/>
        <i/>
        <sz val="11"/>
        <color theme="1"/>
        <rFont val="Calibri"/>
        <family val="2"/>
        <scheme val="minor"/>
      </rPr>
      <t>Production : 50kg (Dont 15kh en nouvelles)</t>
    </r>
  </si>
  <si>
    <t>PdT "Ditta" Dany</t>
  </si>
  <si>
    <r>
      <t xml:space="preserve">Semé en jour racine (vierge). Mauvaise germination. Une partie de la plache complétée avec le mizuna (2 série en mai et juin)
</t>
    </r>
    <r>
      <rPr>
        <b/>
        <i/>
        <sz val="11"/>
        <color theme="1"/>
        <rFont val="Calibri"/>
        <family val="2"/>
        <scheme val="minor"/>
      </rPr>
      <t>Production Carotte : 10 bottes
Production Mizu : 5 kg</t>
    </r>
  </si>
  <si>
    <t>Carotte (Rothild)+ Mizu/tatsoï
Essembio</t>
  </si>
  <si>
    <r>
      <t xml:space="preserve">Semé en jour racine (vierge). Levée moyenne mais tt de même gardée en entier.
</t>
    </r>
    <r>
      <rPr>
        <b/>
        <i/>
        <sz val="11"/>
        <color theme="1"/>
        <rFont val="Calibri"/>
        <family val="2"/>
        <scheme val="minor"/>
      </rPr>
      <t>Production : 28 bottes</t>
    </r>
  </si>
  <si>
    <t>Carotte (Rothild)
Essembio</t>
  </si>
  <si>
    <r>
      <t xml:space="preserve">Croissance moyenne. Peu récolté avant les gelées. Planté un peu tard. 
</t>
    </r>
    <r>
      <rPr>
        <b/>
        <i/>
        <sz val="11"/>
        <color theme="1"/>
        <rFont val="Calibri"/>
        <family val="2"/>
        <scheme val="minor"/>
      </rPr>
      <t>Production : 2kg</t>
    </r>
  </si>
  <si>
    <t>Mesclun (bowl/FdC)
Union</t>
  </si>
  <si>
    <r>
      <t xml:space="preserve">La FdC blonde monte tout de suite en graine. Un peu mieux pour la rouge. &lt;&lt;
</t>
    </r>
    <r>
      <rPr>
        <b/>
        <i/>
        <sz val="11"/>
        <color theme="1"/>
        <rFont val="Calibri"/>
        <family val="2"/>
        <scheme val="minor"/>
      </rPr>
      <t>Tps de croissance : 60 jours
Production : 3kg</t>
    </r>
    <r>
      <rPr>
        <sz val="11"/>
        <color theme="1"/>
        <rFont val="Calibri"/>
        <family val="2"/>
        <scheme val="minor"/>
      </rPr>
      <t xml:space="preserve">
A ne pas refaire ou choisr d'autres variétés</t>
    </r>
  </si>
  <si>
    <t>Mesclun (FdC rouge et blonde)
Germiance</t>
  </si>
  <si>
    <r>
      <t xml:space="preserve">Deuxième série semée fin août (sur 6 lignes) après les chaleurs. Moins piquant.
</t>
    </r>
    <r>
      <rPr>
        <b/>
        <i/>
        <sz val="11"/>
        <color theme="1"/>
        <rFont val="Calibri"/>
        <family val="2"/>
        <scheme val="minor"/>
      </rPr>
      <t>Temps de croissance : 30 jours.</t>
    </r>
    <r>
      <rPr>
        <sz val="11"/>
        <color theme="1"/>
        <rFont val="Calibri"/>
        <family val="2"/>
        <scheme val="minor"/>
      </rPr>
      <t xml:space="preserve">
</t>
    </r>
    <r>
      <rPr>
        <b/>
        <i/>
        <sz val="11"/>
        <color theme="1"/>
        <rFont val="Calibri"/>
        <family val="2"/>
        <scheme val="minor"/>
      </rPr>
      <t>Production : 44 bottes</t>
    </r>
  </si>
  <si>
    <r>
      <t xml:space="preserve">Desherbé régulièrement/butter - Belle réussite : 6-7 poireau/kg
Bonne effet de la toile tissée sur le desherbage. 
</t>
    </r>
    <r>
      <rPr>
        <b/>
        <i/>
        <sz val="11"/>
        <color theme="1"/>
        <rFont val="Calibri"/>
        <family val="2"/>
        <scheme val="minor"/>
      </rPr>
      <t xml:space="preserve">Temps de croissance : 
Production : </t>
    </r>
    <r>
      <rPr>
        <sz val="11"/>
        <color theme="1"/>
        <rFont val="Calibri"/>
        <family val="2"/>
        <scheme val="minor"/>
      </rPr>
      <t xml:space="preserve">
Conclusion : Sur 3 ligne, faire plus de planche. </t>
    </r>
  </si>
  <si>
    <t>Poireaux (???)
Thierry</t>
  </si>
  <si>
    <r>
      <t xml:space="preserve">Un peu meilleur que l'autre planche semé même jour. 
</t>
    </r>
    <r>
      <rPr>
        <b/>
        <i/>
        <sz val="11"/>
        <color theme="1"/>
        <rFont val="Calibri"/>
        <family val="2"/>
        <scheme val="minor"/>
      </rPr>
      <t>Tps de Croissance : 70 jours
Production : 24 bottes + 3kg vrac</t>
    </r>
    <r>
      <rPr>
        <sz val="11"/>
        <color theme="1"/>
        <rFont val="Calibri"/>
        <family val="2"/>
        <scheme val="minor"/>
      </rPr>
      <t xml:space="preserve">
Conclusion : A refaire ss oublié de repiquer durant éclaircissage</t>
    </r>
  </si>
  <si>
    <t>Navet (Jaune Petrowski)
Essembio</t>
  </si>
  <si>
    <r>
      <t xml:space="preserve">Semis en plants 
Moins bonne réussite que les simianes. Gros oignons.
Tout vendu en botte.
</t>
    </r>
    <r>
      <rPr>
        <b/>
        <i/>
        <sz val="11"/>
        <color theme="1"/>
        <rFont val="Calibri"/>
        <family val="2"/>
        <scheme val="minor"/>
      </rPr>
      <t>Tps de croissance : 90 jours</t>
    </r>
    <r>
      <rPr>
        <sz val="11"/>
        <color theme="1"/>
        <rFont val="Calibri"/>
        <family val="2"/>
        <scheme val="minor"/>
      </rPr>
      <t xml:space="preserve">
</t>
    </r>
    <r>
      <rPr>
        <b/>
        <i/>
        <sz val="11"/>
        <color theme="1"/>
        <rFont val="Calibri"/>
        <family val="2"/>
        <scheme val="minor"/>
      </rPr>
      <t>Production : 26 bottes(dont 16 en cébette)</t>
    </r>
  </si>
  <si>
    <t>30t/h fumier cheval composté - 3 ans + 30t/h CV
+ Toile tissée</t>
  </si>
  <si>
    <t>50t/h CV+ 20t/h de fumier mouton avt culture</t>
  </si>
  <si>
    <t>Plantée sur 4 lignes. Ajout 1t/h de tourteau dans la ligne de plantation. Bonne production. Moins attaqué par les pnaise que la série plantée avant. Donc production un peu plus précoce.</t>
  </si>
  <si>
    <t>Semé sur 7 rang car planche un peu étroite. Planhe un peu retournée par les sangliers.</t>
  </si>
  <si>
    <t>Radis (Raxe)</t>
  </si>
  <si>
    <t xml:space="preserve">Moitié de la planche en salade et moitié en mesclun. 2t/h de tourteau dans la ligne de plantation. Production assez moyenne car rapidemment monté en graine. </t>
  </si>
  <si>
    <t xml:space="preserve">Ajout de 1t/h d'Orga 3 à la plantation.Semés sur 3 lignes (1 lignes de plus donc que par rapport à 2016).  Problème levée. Complétée avec une série semée plus tard en plateaux. Tombé malade après les gels d'avril, ils ont tout de même donné correctement aux vue de l'état assez misérable de la plante. </t>
  </si>
  <si>
    <r>
      <t xml:space="preserve">Mauvais semis en serre. Planter sur une demi planche. Complétée avec Crucifère Jap., Salade et Red meat. Red meat et mizu attaqué par les punaises (production zéro). Salade et betterave un peu mieux. 
</t>
    </r>
    <r>
      <rPr>
        <b/>
        <i/>
        <sz val="11"/>
        <color theme="1"/>
        <rFont val="Calibri"/>
        <family val="2"/>
        <scheme val="minor"/>
      </rPr>
      <t>Production Betterave : 4 bottes
Production Salade : 8 unités</t>
    </r>
  </si>
  <si>
    <t>Betterave "détroit" (essembio)/Cruci Jap./Salade/red meat</t>
  </si>
  <si>
    <r>
      <t xml:space="preserve">Semées en jour racine (vierge). Mauvaise Germination, conserver juste 1/2 rang. Remplacer par Mesclun (Mizu/Tatsoï/Salade).
</t>
    </r>
    <r>
      <rPr>
        <b/>
        <i/>
        <sz val="11"/>
        <color theme="1"/>
        <rFont val="Calibri"/>
        <family val="2"/>
        <scheme val="minor"/>
      </rPr>
      <t>Production Mesclun 7kg
Production Carotte : 1 botte</t>
    </r>
  </si>
  <si>
    <t>Carotte (Touchon)/Mesclun (mizu/tatsoÏ/salade)
Essembio</t>
  </si>
  <si>
    <r>
      <t xml:space="preserve">Semé en jour racine (vierge). Levée moyenne mais tt de même gardée en entier.
</t>
    </r>
    <r>
      <rPr>
        <b/>
        <i/>
        <sz val="11"/>
        <color theme="1"/>
        <rFont val="Calibri"/>
        <family val="2"/>
        <scheme val="minor"/>
      </rPr>
      <t>Production : 25 bottes</t>
    </r>
  </si>
  <si>
    <t>Carotte (Touchon)
Essembio</t>
  </si>
  <si>
    <r>
      <t xml:space="preserve">Pas trop mal pour la saison. Période difficile pour les salades. Récoltés petites
</t>
    </r>
    <r>
      <rPr>
        <b/>
        <i/>
        <sz val="11"/>
        <color theme="1"/>
        <rFont val="Calibri"/>
        <family val="2"/>
        <scheme val="minor"/>
      </rPr>
      <t>Tps de croissance : 60 jours
Production : 40 unité</t>
    </r>
    <r>
      <rPr>
        <sz val="11"/>
        <color theme="1"/>
        <rFont val="Calibri"/>
        <family val="2"/>
        <scheme val="minor"/>
      </rPr>
      <t xml:space="preserve">
Conclusion : A refaire/ voir autre variété</t>
    </r>
  </si>
  <si>
    <t>Salade (Pasquier/Rougette)
Germiance</t>
  </si>
  <si>
    <r>
      <t xml:space="preserve">Premier radis semé (sur 6 lignes) après les chaleurs. Encore piquant.
</t>
    </r>
    <r>
      <rPr>
        <b/>
        <i/>
        <sz val="11"/>
        <color theme="1"/>
        <rFont val="Calibri"/>
        <family val="2"/>
        <scheme val="minor"/>
      </rPr>
      <t>Temps de croissance : 30 jours.</t>
    </r>
    <r>
      <rPr>
        <sz val="11"/>
        <color theme="1"/>
        <rFont val="Calibri"/>
        <family val="2"/>
        <scheme val="minor"/>
      </rPr>
      <t xml:space="preserve">
</t>
    </r>
    <r>
      <rPr>
        <b/>
        <i/>
        <sz val="11"/>
        <color theme="1"/>
        <rFont val="Calibri"/>
        <family val="2"/>
        <scheme val="minor"/>
      </rPr>
      <t>Production : 38 bottes</t>
    </r>
  </si>
  <si>
    <r>
      <t xml:space="preserve">Desherbé régulièrement/butter - Belle réussite : 6-7 poireau/kg
</t>
    </r>
    <r>
      <rPr>
        <b/>
        <i/>
        <sz val="11"/>
        <color theme="1"/>
        <rFont val="Calibri"/>
        <family val="2"/>
        <scheme val="minor"/>
      </rPr>
      <t xml:space="preserve">Temps de croissance : 
Production : </t>
    </r>
    <r>
      <rPr>
        <sz val="11"/>
        <color theme="1"/>
        <rFont val="Calibri"/>
        <family val="2"/>
        <scheme val="minor"/>
      </rPr>
      <t xml:space="preserve">
Conclusion : Sur 3 ligne, faire plus de planche. </t>
    </r>
  </si>
  <si>
    <t>Poireaux (amor/flipper)
Germinance</t>
  </si>
  <si>
    <r>
      <t xml:space="preserve">Moins bien sortie que la deuxième planche. Régularité moyenne. 
</t>
    </r>
    <r>
      <rPr>
        <b/>
        <i/>
        <sz val="11"/>
        <color theme="1"/>
        <rFont val="Calibri"/>
        <family val="2"/>
        <scheme val="minor"/>
      </rPr>
      <t>Tps de Croissance : 70 jours
Production : 18 bottes + 3kg vrac</t>
    </r>
    <r>
      <rPr>
        <sz val="11"/>
        <color theme="1"/>
        <rFont val="Calibri"/>
        <family val="2"/>
        <scheme val="minor"/>
      </rPr>
      <t xml:space="preserve">
Conclusion : Ne pas refaire cette variété. Moins bonne au goût et germe moins bien. </t>
    </r>
  </si>
  <si>
    <t>Navet (Blanc Globe)
Essembio</t>
  </si>
  <si>
    <r>
      <t xml:space="preserve">Semis en plants 
Belle réussite, beaux oignons tous vendues en botte. 
</t>
    </r>
    <r>
      <rPr>
        <b/>
        <i/>
        <sz val="11"/>
        <color theme="1"/>
        <rFont val="Calibri"/>
        <family val="2"/>
        <scheme val="minor"/>
      </rPr>
      <t>Tps de croissance : 90 jours</t>
    </r>
    <r>
      <rPr>
        <sz val="11"/>
        <color theme="1"/>
        <rFont val="Calibri"/>
        <family val="2"/>
        <scheme val="minor"/>
      </rPr>
      <t xml:space="preserve">
</t>
    </r>
    <r>
      <rPr>
        <b/>
        <i/>
        <sz val="11"/>
        <color theme="1"/>
        <rFont val="Calibri"/>
        <family val="2"/>
        <scheme val="minor"/>
      </rPr>
      <t>Production : 53 bottes (dont 10 en cébette)</t>
    </r>
  </si>
  <si>
    <t>Oignon (Simiane)
Girerd</t>
  </si>
  <si>
    <t>1/3 fut conservé en maïs, 1/3 en mesclun de salade et 1/3 en crucifèr ejaponaise. Dernière plantation un peu tardive et prooduction très moyenne</t>
  </si>
  <si>
    <t>Crucifère japonaise/mesclun</t>
  </si>
  <si>
    <t>planté sur 6 ligne 1t/h Orga 3 et 1t/h tourteau avt plantation</t>
  </si>
  <si>
    <t>Poireau planté sur 4 ligne à 15cm. Rajout de 2t/h de tourteau de ricin dans la ligne de plantation.</t>
  </si>
  <si>
    <t xml:space="preserve">Semés sur 3 lignes. 1t/h Orga 3 + 1t/h tourteau de ricin avant plantation. </t>
  </si>
  <si>
    <t xml:space="preserve">Semé sur 3 lignes. 2 kg de tourteau dans les lignes de semis avant plantation. Récolté un peu jeune car très bonne production en fin de récolte. </t>
  </si>
  <si>
    <t>PdT Kuroda</t>
  </si>
  <si>
    <t xml:space="preserve">1t/h de tourteau de ricin avant plantation. 4 rangs de panais et 3 rangs de Salade "Till". Salade qui a vite chaud et qui se converve moins bien. A faire en tout début de saison mais c'est tout.  LE panais en revanche n'a absolument rien donné. </t>
  </si>
  <si>
    <t>Panais/Salade</t>
  </si>
  <si>
    <t xml:space="preserve">Semé sur 4 lignes. semé plus densement pour faire des petites bottes d'ail frais non bulbée.  Mis sous P17 qqs semaines en hiver. Ajout de 1t/h d'Orga 3 en mars en même temps que le 1er buttage. Bonne production et bonne idée de doublée les densités pour faire de l'aillet. A reproduire sur toutes les planches l'année prochaine. </t>
  </si>
  <si>
    <t>Ail blanc (Dany)</t>
  </si>
  <si>
    <t>10t/h fumier de mouton+paille</t>
  </si>
  <si>
    <t>10t/h fumier de mouton</t>
  </si>
  <si>
    <r>
      <t xml:space="preserve">Plants acheté chez Meffre car les semis ont raté. Production moyenne. Croissance très lente. 
</t>
    </r>
    <r>
      <rPr>
        <b/>
        <i/>
        <sz val="11"/>
        <color theme="1"/>
        <rFont val="Calibri"/>
        <family val="2"/>
        <scheme val="minor"/>
      </rPr>
      <t>Production : 8kg</t>
    </r>
  </si>
  <si>
    <t>Epinard (???) - Meffre</t>
  </si>
  <si>
    <t>qqs kg fumier poule</t>
  </si>
  <si>
    <r>
      <t xml:space="preserve">Mauvaise production (les HV fil très rapidemment). Quasiemment rien récolté. 
</t>
    </r>
    <r>
      <rPr>
        <b/>
        <i/>
        <sz val="11"/>
        <color theme="1"/>
        <rFont val="Calibri"/>
        <family val="2"/>
        <scheme val="minor"/>
      </rPr>
      <t>Production : 2 kg</t>
    </r>
  </si>
  <si>
    <t>Haricot Vert-3 rangs (Aiguillon)</t>
  </si>
  <si>
    <r>
      <t xml:space="preserve">Chou sur 3 rangs inetercalé avec 2 rangs de Radis. Production très moyenne. Chou comme Radis. Pas assez d'eau ? Les choux n'ont quasiemment rien donnés. 
</t>
    </r>
    <r>
      <rPr>
        <b/>
        <i/>
        <sz val="11"/>
        <color theme="1"/>
        <rFont val="Calibri"/>
        <family val="2"/>
        <scheme val="minor"/>
      </rPr>
      <t>Production Radis : 10 bottes</t>
    </r>
  </si>
  <si>
    <t>Chou Fleur/chou Brocoli- Radis "Géant de Sicile"</t>
  </si>
  <si>
    <r>
      <t xml:space="preserve">Navet sur 3 lignes et 2 lignes de Radis. Radis assez piquants. 
</t>
    </r>
    <r>
      <rPr>
        <b/>
        <i/>
        <sz val="11"/>
        <color theme="1"/>
        <rFont val="Calibri"/>
        <family val="2"/>
        <scheme val="minor"/>
      </rPr>
      <t>Production Radis : 15 bottes
Production Navet : 40 botte + 5kg vrac</t>
    </r>
  </si>
  <si>
    <t>Navet "boule d'or" / Radis "Géant de Sicile"</t>
  </si>
  <si>
    <t>qqs kg de fumier poule 6 mois</t>
  </si>
  <si>
    <r>
      <t xml:space="preserve">Géant de sicile ont bien focntionné. Bon radis qui grossi mais ne creuse pas. Arefaire. Direct enchaîné avec Haricot vert "Aiguillon".
</t>
    </r>
    <r>
      <rPr>
        <b/>
        <i/>
        <sz val="11"/>
        <color theme="1"/>
        <rFont val="Calibri"/>
        <family val="2"/>
        <scheme val="minor"/>
      </rPr>
      <t>Production Radis : 52 bottes</t>
    </r>
  </si>
  <si>
    <t>Radis "Géeant de sicile (essembio)+HV</t>
  </si>
  <si>
    <r>
      <t xml:space="preserve">Production correcte mais déception sur l'autre varéité "Aiguillon" qui fil très facilement et qui est moins productive. 
</t>
    </r>
    <r>
      <rPr>
        <b/>
        <i/>
        <sz val="11"/>
        <color theme="1"/>
        <rFont val="Calibri"/>
        <family val="2"/>
        <scheme val="minor"/>
      </rPr>
      <t>Production : 16 kg</t>
    </r>
  </si>
  <si>
    <t>Haricot Vert-3 rangs (Cupidon)</t>
  </si>
  <si>
    <r>
      <t xml:space="preserve">Semé en jour où il ne faut rien faire !! Radis en Inter Rang. Haricot grillé par une gelée non prévue (après mistral).Production radis moyenne car attaqué au départ par altise. Bonne saveur, peu piquante. HV Resemé fin mai. Variété aiguillon à éviter. Peu productive et filendreuse
</t>
    </r>
    <r>
      <rPr>
        <b/>
        <i/>
        <sz val="11"/>
        <color theme="1"/>
        <rFont val="Calibri"/>
        <family val="2"/>
        <scheme val="minor"/>
      </rPr>
      <t>Production Radis : 10 bottes
Production Haricot vert : 3 kg</t>
    </r>
  </si>
  <si>
    <t>Haricot Vert-3 rangs (Aiguillon)+ Radis Rudi - 2 rangs
Essembio</t>
  </si>
  <si>
    <t xml:space="preserve">Planche gardée pendant l'hiver pour les radis. </t>
  </si>
  <si>
    <r>
      <t xml:space="preserve">Trop chaud sous P17. Mauvaise croissance et montée en graine rapide. 
</t>
    </r>
    <r>
      <rPr>
        <b/>
        <i/>
        <sz val="11"/>
        <color theme="1"/>
        <rFont val="Calibri"/>
        <family val="2"/>
        <scheme val="minor"/>
      </rPr>
      <t xml:space="preserve">Tps de croissance : 54 jours
Production : 4 kg. </t>
    </r>
  </si>
  <si>
    <t xml:space="preserve">Epinard (Verdil) - Essembio
Environ 10 plants de coriandre. </t>
  </si>
  <si>
    <r>
      <t xml:space="preserve">Bonne croissance et bonne production. Belle réussite. Récolte tous l'hiver
</t>
    </r>
    <r>
      <rPr>
        <b/>
        <i/>
        <sz val="11"/>
        <color theme="1"/>
        <rFont val="Calibri"/>
        <family val="2"/>
        <scheme val="minor"/>
      </rPr>
      <t>Tps de croissance : 48 jours
production : 40 kg</t>
    </r>
  </si>
  <si>
    <t>Radis noir (long maraicher)
union - tezier</t>
  </si>
  <si>
    <r>
      <t xml:space="preserve">Croissance un peu lente, la plante reste compacte.
</t>
    </r>
    <r>
      <rPr>
        <b/>
        <i/>
        <sz val="11"/>
        <color theme="1"/>
        <rFont val="Calibri"/>
        <family val="2"/>
        <scheme val="minor"/>
      </rPr>
      <t>Tps de croissance : 78 jours</t>
    </r>
    <r>
      <rPr>
        <sz val="11"/>
        <color theme="1"/>
        <rFont val="Calibri"/>
        <family val="2"/>
        <scheme val="minor"/>
      </rPr>
      <t xml:space="preserve">
</t>
    </r>
    <r>
      <rPr>
        <b/>
        <i/>
        <sz val="11"/>
        <color theme="1"/>
        <rFont val="Calibri"/>
        <family val="2"/>
        <scheme val="minor"/>
      </rPr>
      <t>Production  :  5kg</t>
    </r>
    <r>
      <rPr>
        <sz val="11"/>
        <color theme="1"/>
        <rFont val="Calibri"/>
        <family val="2"/>
        <scheme val="minor"/>
      </rPr>
      <t xml:space="preserve">
</t>
    </r>
  </si>
  <si>
    <t>Mâche(Verte de cambrais)
Essembio</t>
  </si>
  <si>
    <t>40t/h Fumier mouton + paille</t>
  </si>
  <si>
    <t>10t/h fumier mouton</t>
  </si>
  <si>
    <t xml:space="preserve">Semé sur 2 lignes. Pb avec le temps de novembre. Pied pourri. Non tutoré. 
Quasi aucune production. 
Conclusion : Ne pas semer le pt pois à cette époque. Semer en mars. </t>
  </si>
  <si>
    <t>Mangetout (noril)
Essembio</t>
  </si>
  <si>
    <t xml:space="preserve">Semé sur 2 ligne. Pb avec le temps de novembre. Pied pourri. Mal tutoré. 
Quasi aucune production. 
Conclusion : Ne pas semer le pt pois à cette époque. Semer en mars. </t>
  </si>
  <si>
    <t>Petits pois (douce provence)
Essembio</t>
  </si>
  <si>
    <r>
      <rPr>
        <sz val="11"/>
        <color theme="1"/>
        <rFont val="Calibri"/>
        <family val="2"/>
        <scheme val="minor"/>
      </rPr>
      <t xml:space="preserve">Partie un peu haute avant les premières gelées de décembre. Pourrissement. 
Bien repartie au pied au printemps. Puceron sur les têtes (étettés) traité au savon noir. 
</t>
    </r>
    <r>
      <rPr>
        <b/>
        <i/>
        <sz val="11"/>
        <color theme="1"/>
        <rFont val="Calibri"/>
        <family val="2"/>
        <scheme val="minor"/>
      </rPr>
      <t>Tps de croissance : 186 jours
Production : 20 kg</t>
    </r>
    <r>
      <rPr>
        <sz val="11"/>
        <color theme="1"/>
        <rFont val="Calibri"/>
        <family val="2"/>
        <scheme val="minor"/>
      </rPr>
      <t xml:space="preserve">
Conclusion : A refaire, peut-être planté un poil plus tard. Macération ail contre puceron !!</t>
    </r>
  </si>
  <si>
    <t>Fève (Agadulce)
Essembio</t>
  </si>
  <si>
    <t>50t/h Fumier composté 3 ans</t>
  </si>
  <si>
    <t>60t/h fumier composté 3 ans</t>
  </si>
  <si>
    <t>Moutarde et vesce chétive et éparse. Détruite pour amendement et cultures</t>
  </si>
  <si>
    <t>Roto+ EV (moutarde)+vesce</t>
  </si>
  <si>
    <t xml:space="preserve">Moutarde chétive. Vesce d'abord chétive puis bien repartir au printemps. </t>
  </si>
  <si>
    <t>Plantées 4 lignes. 1t/h Orga 3 avant plantation. Croissance très moyenne.</t>
  </si>
  <si>
    <t xml:space="preserve">Plantées 4 lignes. 1t/h Orga 3 + 1t/h tourteau de ricin avant plantation. Production très moyenne. Rapidemment montée en graine.  </t>
  </si>
  <si>
    <t>Salade 9 (Storina)</t>
  </si>
  <si>
    <r>
      <t xml:space="preserve">Chou sur 3 rangs inetercalé avec 2 rangs de Radis. Production très moyenne. Chou comme Radis. Pas assez d'eau ? Les choux n'on rien donné. 
</t>
    </r>
    <r>
      <rPr>
        <b/>
        <i/>
        <sz val="11"/>
        <color theme="1"/>
        <rFont val="Calibri"/>
        <family val="2"/>
        <scheme val="minor"/>
      </rPr>
      <t>Production Radis : 10 bottes</t>
    </r>
  </si>
  <si>
    <t>Haricot Vert-3 rangs (Cupidon/aiguillon)</t>
  </si>
  <si>
    <r>
      <t xml:space="preserve">Croissance correcte. Quelques plants malade. Production prolongée. 
</t>
    </r>
    <r>
      <rPr>
        <b/>
        <i/>
        <sz val="11"/>
        <color theme="1"/>
        <rFont val="Calibri"/>
        <family val="2"/>
        <scheme val="minor"/>
      </rPr>
      <t>Tps de croissance : 26 jours
production : 5kg</t>
    </r>
  </si>
  <si>
    <t>Mizuna (Germinance)</t>
  </si>
  <si>
    <r>
      <t xml:space="preserve">Démarrage poussif mais bonne croissance ensuite.
</t>
    </r>
    <r>
      <rPr>
        <b/>
        <i/>
        <sz val="11"/>
        <color theme="1"/>
        <rFont val="Calibri"/>
        <family val="2"/>
        <scheme val="minor"/>
      </rPr>
      <t>Tps de croissance : 47 jours</t>
    </r>
    <r>
      <rPr>
        <sz val="11"/>
        <color theme="1"/>
        <rFont val="Calibri"/>
        <family val="2"/>
        <scheme val="minor"/>
      </rPr>
      <t xml:space="preserve">
</t>
    </r>
    <r>
      <rPr>
        <b/>
        <i/>
        <sz val="11"/>
        <color theme="1"/>
        <rFont val="Calibri"/>
        <family val="2"/>
        <scheme val="minor"/>
      </rPr>
      <t>Production  :  12kg</t>
    </r>
    <r>
      <rPr>
        <sz val="11"/>
        <color theme="1"/>
        <rFont val="Calibri"/>
        <family val="2"/>
        <scheme val="minor"/>
      </rPr>
      <t xml:space="preserve">
</t>
    </r>
  </si>
  <si>
    <t>20t/h Fumier mouton + paille</t>
  </si>
  <si>
    <t xml:space="preserve">Semé sur 2 lignes. Pb avec le temps de novembre. Pied pourri. Non tutoré.
Différence visible avec les planches amendées.  
Quasi aucune production. 
Conclusion : Ne pas semer le pt pois à cette époque. Semer en mars. </t>
  </si>
  <si>
    <t xml:space="preserve">Semé sur 2 ligne. Pb avec le temps de novembre. Pied pourri. Mal tutoré. 
Aucun amendement visible. Plants pire que sur les autres planches. 
Quasi aucune production. 
Conclusion : Ne pas semer le pt pois à cette époque. Semer en mars. </t>
  </si>
  <si>
    <t>Aucun amendement.</t>
  </si>
  <si>
    <t xml:space="preserve">Plantées en 2 série sur 7 lignes. Bonne croissance, pas de soucis. </t>
  </si>
  <si>
    <t>planté sur 6 lignes.</t>
  </si>
  <si>
    <t>Mesclun 13 Mizu/moutarde…</t>
  </si>
  <si>
    <t>Salade 10 (Carmen)</t>
  </si>
  <si>
    <t xml:space="preserve">Ajout de 1t/h Orga 3 et 1t/h Tourteau de ricin à la plantation. 3 rangs de fenouil et 2 rangs de Salade. Fenouil pas trop mal par rapport aux autres années mais les salades n'ont pas trouvé leur place. Trop serré. </t>
  </si>
  <si>
    <t>Fenouil (Preludio F1)+ Salade</t>
  </si>
  <si>
    <t>10t/h fumier de mouton+Paille</t>
  </si>
  <si>
    <t xml:space="preserve">Plants acheté chez françoise car les plants ont ratés. Plantation un peu tardive, les chou n'ont pas eu le temps de pommer avant fin décembre. Pas de production. </t>
  </si>
  <si>
    <t>Chou Rouge (Françoise)</t>
  </si>
  <si>
    <r>
      <t xml:space="preserve">Navets sur 3 rangs inetercalés avec 2 rangs de Radis. Production correcte. 
</t>
    </r>
    <r>
      <rPr>
        <b/>
        <i/>
        <sz val="11"/>
        <color theme="1"/>
        <rFont val="Calibri"/>
        <family val="2"/>
        <scheme val="minor"/>
      </rPr>
      <t>Production Radis : 20 bottes
Production Navet : 32 bottes</t>
    </r>
  </si>
  <si>
    <t>Navet- Radis "Géant de Sicile"</t>
  </si>
  <si>
    <r>
      <t xml:space="preserve">Red meat sur 3 lignes et 2 lignes de Radis. Radis assez piquants. 
</t>
    </r>
    <r>
      <rPr>
        <b/>
        <i/>
        <sz val="11"/>
        <color theme="1"/>
        <rFont val="Calibri"/>
        <family val="2"/>
        <scheme val="minor"/>
      </rPr>
      <t>Production Radis : 15 bottes 
Production Radis Red Meat : 31 kg</t>
    </r>
  </si>
  <si>
    <t>Radis "Red meat" / Radis "Rudi"</t>
  </si>
  <si>
    <r>
      <t xml:space="preserve">Bonne production qui ratrappe un peu la mauvaise variété Aiguillon.
</t>
    </r>
    <r>
      <rPr>
        <b/>
        <i/>
        <sz val="11"/>
        <color theme="1"/>
        <rFont val="Calibri"/>
        <family val="2"/>
        <scheme val="minor"/>
      </rPr>
      <t>Production : 23 kg</t>
    </r>
  </si>
  <si>
    <r>
      <t xml:space="preserve">Planté à la suite dans cet ordre. Grillée par une gelée non prévue après mistral. Ressemer de suite avec du HV. 
Production correcte mais déception sur l'autre varéité "Aiguillon" qui fil très facilement et qui est moins productive. 
</t>
    </r>
    <r>
      <rPr>
        <b/>
        <i/>
        <sz val="11"/>
        <color theme="1"/>
        <rFont val="Calibri"/>
        <family val="2"/>
        <scheme val="minor"/>
      </rPr>
      <t>Production haricot : 16 kg</t>
    </r>
  </si>
  <si>
    <t>Basilic (genoves/Grand Vert/Marseillais)/ Haricot vert Aiguillon (Gautier)</t>
  </si>
  <si>
    <r>
      <t xml:space="preserve">Semé en jour où il ne faut rien faire !! Radis en Inter Rang. Haricot grillé par une gelée non prévue (après mistral).Production radis moyenne car attaqué au départ par altise. Bonne saveur, peu piquante.
</t>
    </r>
    <r>
      <rPr>
        <b/>
        <i/>
        <sz val="11"/>
        <color theme="1"/>
        <rFont val="Calibri"/>
        <family val="2"/>
        <scheme val="minor"/>
      </rPr>
      <t>Production Radis : 10 bottes
Production Haricot vert : 22kg</t>
    </r>
  </si>
  <si>
    <t>Haricot Vert-3 rangs (Cupidon)+ Radis Rudi - 2 rangs
Essembio</t>
  </si>
  <si>
    <r>
      <t xml:space="preserve">Même si un peu chaud sous P17, bonne croissance. Un peu frod vers la fin ce qui réduit la production. 
</t>
    </r>
    <r>
      <rPr>
        <b/>
        <i/>
        <sz val="11"/>
        <color theme="1"/>
        <rFont val="Calibri"/>
        <family val="2"/>
        <scheme val="minor"/>
      </rPr>
      <t>Tps de croissance : 33 jours
Production : 40 bottes</t>
    </r>
  </si>
  <si>
    <r>
      <t xml:space="preserve">Planche un peu mélangée avec Mesclun/chicorée et un peu de blettes. 
</t>
    </r>
    <r>
      <rPr>
        <b/>
        <i/>
        <sz val="11"/>
        <color theme="1"/>
        <rFont val="Calibri"/>
        <family val="2"/>
        <scheme val="minor"/>
      </rPr>
      <t>Production Scarole : Environ 15 (80%)
Production blette : environ 5-6 botte (sur 10 plants). 
Production Mesclun : Environ 1 kg</t>
    </r>
  </si>
  <si>
    <t>Mesclun (Biscia)
Chicorée (scarole) - Essembio</t>
  </si>
  <si>
    <r>
      <t xml:space="preserve">Démarrage poussif mais bonne croissance ensuite.
</t>
    </r>
    <r>
      <rPr>
        <b/>
        <i/>
        <sz val="11"/>
        <color theme="1"/>
        <rFont val="Calibri"/>
        <family val="2"/>
        <scheme val="minor"/>
      </rPr>
      <t>Tps de croissance : 47 jours</t>
    </r>
    <r>
      <rPr>
        <sz val="11"/>
        <color theme="1"/>
        <rFont val="Calibri"/>
        <family val="2"/>
        <scheme val="minor"/>
      </rPr>
      <t xml:space="preserve">
</t>
    </r>
    <r>
      <rPr>
        <b/>
        <i/>
        <sz val="11"/>
        <color theme="1"/>
        <rFont val="Calibri"/>
        <family val="2"/>
        <scheme val="minor"/>
      </rPr>
      <t>Production  : 12kg</t>
    </r>
    <r>
      <rPr>
        <sz val="11"/>
        <color theme="1"/>
        <rFont val="Calibri"/>
        <family val="2"/>
        <scheme val="minor"/>
      </rPr>
      <t xml:space="preserve">
</t>
    </r>
  </si>
  <si>
    <t>Aucun amendement</t>
  </si>
  <si>
    <t xml:space="preserve">Epinard   </t>
  </si>
  <si>
    <t>Mesclun 13/ Mizu</t>
  </si>
  <si>
    <t>Planté sur 6 lignes. 600 salades et 200 cruci japonaise + un peu de betterave et d'épinard. Mauvaise croissance de la salade. Pourquoi ? Peut-être le précédent de culture en ail…</t>
  </si>
  <si>
    <r>
      <t xml:space="preserve">Plants achetés car semis ratés. Production très moyenne. Arrosage moyen et mauvaise croissance. 
</t>
    </r>
    <r>
      <rPr>
        <b/>
        <i/>
        <sz val="11"/>
        <color theme="1"/>
        <rFont val="Calibri"/>
        <family val="2"/>
        <scheme val="minor"/>
      </rPr>
      <t>Production : 8kg</t>
    </r>
  </si>
  <si>
    <t>Epinard (Françoise)</t>
  </si>
  <si>
    <r>
      <t xml:space="preserve">3 rangs de chou, radis sur 2 rangs entre les chou. Mesclun et betterave sur 5 rangs et fin de planche avec radis sur 5 rangs. La mauvaise levée des semis  a obligée ce mixte.
</t>
    </r>
    <r>
      <rPr>
        <b/>
        <i/>
        <sz val="11"/>
        <color theme="1"/>
        <rFont val="Calibri"/>
        <family val="2"/>
        <scheme val="minor"/>
      </rPr>
      <t>Production radis : 10 bottes</t>
    </r>
  </si>
  <si>
    <t>Betterave/Chou Brocoli/Mesclun/Radis Géant</t>
  </si>
  <si>
    <r>
      <t xml:space="preserve">Red meat sur 3 lignes et 2 lignes de Radis. Radis assez piquants. 
</t>
    </r>
    <r>
      <rPr>
        <b/>
        <i/>
        <sz val="11"/>
        <color theme="1"/>
        <rFont val="Calibri"/>
        <family val="2"/>
        <scheme val="minor"/>
      </rPr>
      <t>Production Radis : 15 bottes
Production Radis Red Meat : 31 kg</t>
    </r>
  </si>
  <si>
    <t xml:space="preserve">Semées en jour racine. Très mauvaise levée. Toujuors pareil. Remplacé par Haricot vert en juin. </t>
  </si>
  <si>
    <t>Carotte "Napoli F1" (essembio)/HV Cupidon</t>
  </si>
  <si>
    <r>
      <t xml:space="preserve">Planté hors période  de plantation. Ajout du persil Semaine suivante.
</t>
    </r>
    <r>
      <rPr>
        <b/>
        <i/>
        <sz val="11"/>
        <color theme="1"/>
        <rFont val="Calibri"/>
        <family val="2"/>
        <scheme val="minor"/>
      </rPr>
      <t>Production Persil : 72 bottes
Production Oignon : 60 bottes</t>
    </r>
  </si>
  <si>
    <t xml:space="preserve">Oignon (Cénol/rouge)/ Persil </t>
  </si>
  <si>
    <r>
      <t xml:space="preserve">Planche un peu mélangée avec moitié Mesclun et moitié chicorée 
</t>
    </r>
    <r>
      <rPr>
        <b/>
        <i/>
        <sz val="11"/>
        <color theme="1"/>
        <rFont val="Calibri"/>
        <family val="2"/>
        <scheme val="minor"/>
      </rPr>
      <t>Production Sucrine  : Environ 15 (80%)
Production blette : environ 5-6 botte (sur 10 plants). 
Production Mesclun : Environ 1 kg</t>
    </r>
  </si>
  <si>
    <t>Mesclun (Biscia)
Chicorée (Sucrine/scarole) - Essembio</t>
  </si>
  <si>
    <r>
      <t xml:space="preserve">Bonne croissance et bonne production. Saison Facile. 
</t>
    </r>
    <r>
      <rPr>
        <b/>
        <i/>
        <sz val="11"/>
        <color theme="1"/>
        <rFont val="Calibri"/>
        <family val="2"/>
        <scheme val="minor"/>
      </rPr>
      <t>Tps de croissance : 30jrs.
Production : 7 kg</t>
    </r>
  </si>
  <si>
    <t>Mesclun (FdC/bowl)
Union</t>
  </si>
  <si>
    <t xml:space="preserve">Planter un peu à l'arrache sans désherbage avant. Galère ensuite !!!
Plant malade, trop enherbé. Quasi aucune production. </t>
  </si>
  <si>
    <t>Pomme de terre
Cyril</t>
  </si>
  <si>
    <t>20t/h fumier mouton+paille</t>
  </si>
  <si>
    <t>Plantées 4 lignes. 1t/h Orga 3 avant plantation. Croissance mauvaise. Pas trop compris pouquoi. Peut-être les plants avaient trop souffert de la chaleur !!!</t>
  </si>
  <si>
    <t>Crucifère japonaise pour mesclun</t>
  </si>
  <si>
    <t xml:space="preserve">Semé sur 3 lignes en poquet à 30. Ajout de 2t/h d'Orga 3 au moment du semis. Mauvaise levée due à de mauvaise graine. Resemé en HV en juin. Récolte correcte sans être exceptionnelle. </t>
  </si>
  <si>
    <t>HV 2 (Cupidon)</t>
  </si>
  <si>
    <t xml:space="preserve">Planté sur 6 lignes. 600 salades et 200 cruci japonaise. Pas de soucis particulier mais assez vite montée en graine. </t>
  </si>
  <si>
    <t>Semé sur 3 lignes. 2 kg de tourteau dans les lignes de semis avant plantation.</t>
  </si>
  <si>
    <t>PdT Ditta</t>
  </si>
  <si>
    <t>Semé sur 6 lignes.  Réussite pas mal.</t>
  </si>
  <si>
    <t>Radis Gaudry 2 "Union"</t>
  </si>
  <si>
    <t>Semée sur 2 lignes. Elles ont pris -11°C pendant l'hiver mais on bien résisté. 3ème ligne rajouté en janvier au centre. Mis sous P17 qqs semaines en hiver. Ajout de 1t/h d'Orga 3 en mars en même temps que le 1er buttage.  Moins bonne production que la planche 1 et 2</t>
  </si>
  <si>
    <t>Fève - Agadulce (Voltz)</t>
  </si>
  <si>
    <r>
      <t xml:space="preserve">Plants achetés car semis ratés. Production très moyenne. Arrosage moyen et mauvaise croissance. 
</t>
    </r>
    <r>
      <rPr>
        <b/>
        <i/>
        <sz val="11"/>
        <color theme="1"/>
        <rFont val="Calibri"/>
        <family val="2"/>
        <scheme val="minor"/>
      </rPr>
      <t>Production : 10kg</t>
    </r>
  </si>
  <si>
    <r>
      <t xml:space="preserve">Sur 4 rangs. Complétée avec chicorée Cornet d'Anjou sur 4 rangs également. Production correcte mais dévasté par les mulots. Pareil pour les blettes.
</t>
    </r>
    <r>
      <rPr>
        <b/>
        <i/>
        <sz val="11"/>
        <color theme="1"/>
        <rFont val="Calibri"/>
        <family val="2"/>
        <scheme val="minor"/>
      </rPr>
      <t>Production chicorée :  10 unités
Production blette : 40 bottes</t>
    </r>
  </si>
  <si>
    <t>Poirée (Voltz)/ Chicorée Cornet d'Anjou</t>
  </si>
  <si>
    <r>
      <t xml:space="preserve">Semé début septembre. Ont eu trop chaud ou pas assez d'eau et devenu trop piqué. Abandon des récoltes à mi-chemin. 
</t>
    </r>
    <r>
      <rPr>
        <b/>
        <i/>
        <sz val="11"/>
        <color theme="1"/>
        <rFont val="Calibri"/>
        <family val="2"/>
        <scheme val="minor"/>
      </rPr>
      <t>Production 30 bottes</t>
    </r>
  </si>
  <si>
    <t xml:space="preserve">Radis </t>
  </si>
  <si>
    <t>Mauvaise levée. Toujuors pareil. Complétée avec Mizu/moutarde fin juin</t>
  </si>
  <si>
    <t>Carotte "Rothild" (essembio)/Mizu/moutarde</t>
  </si>
  <si>
    <r>
      <t xml:space="preserve">Planté hors période  de plantation. 4 rangs d'oignons intercalé avec 3 rangs de salade. Salade montées en graine radpidemment car trop de production à l'époque.
</t>
    </r>
    <r>
      <rPr>
        <b/>
        <i/>
        <sz val="11"/>
        <color theme="1"/>
        <rFont val="Calibri"/>
        <family val="2"/>
        <scheme val="minor"/>
      </rPr>
      <t>Production Salade : 34 unités
Production Oignon : 60 bottes</t>
    </r>
  </si>
  <si>
    <t>Oignon (Cénol/rouge) / Salade (Till)</t>
  </si>
  <si>
    <r>
      <t xml:space="preserve">Cacahuète sur 2 rangs avec salade intercalée sur 2 rangs. Les cacahuètes n'ont jamais repris. Virées lors d'un deshérbage.
</t>
    </r>
    <r>
      <rPr>
        <b/>
        <i/>
        <sz val="11"/>
        <color theme="1"/>
        <rFont val="Calibri"/>
        <family val="2"/>
        <scheme val="minor"/>
      </rPr>
      <t>Production Salade : 52 unités</t>
    </r>
  </si>
  <si>
    <t>Cacahuète+ salade (storina)</t>
  </si>
  <si>
    <r>
      <t xml:space="preserve">Trop chaud sous le P17. Plusieurs branche par plant. 
Pb dans les semis (pas de serres)
Conclusion : Prochaine fois, acheter les plants et filet bio. 
</t>
    </r>
    <r>
      <rPr>
        <b/>
        <i/>
        <sz val="11"/>
        <color theme="1"/>
        <rFont val="Calibri"/>
        <family val="2"/>
        <scheme val="minor"/>
      </rPr>
      <t>Production : 5 kg</t>
    </r>
  </si>
  <si>
    <t>Chou Brocoli (Germinance)</t>
  </si>
  <si>
    <r>
      <t xml:space="preserve">Mieux réussi que la série en juillet. 
</t>
    </r>
    <r>
      <rPr>
        <b/>
        <i/>
        <sz val="11"/>
        <color theme="1"/>
        <rFont val="Calibri"/>
        <family val="2"/>
        <scheme val="minor"/>
      </rPr>
      <t>Tps de croissance : 54 jours
production : 7kg</t>
    </r>
  </si>
  <si>
    <r>
      <t xml:space="preserve">Bonne saison pour le radis. Pas de soucis. 
</t>
    </r>
    <r>
      <rPr>
        <b/>
        <i/>
        <sz val="11"/>
        <color theme="1"/>
        <rFont val="Calibri"/>
        <family val="2"/>
        <scheme val="minor"/>
      </rPr>
      <t>Tps de croissance :  28 jours
Production : 40 bottes</t>
    </r>
    <r>
      <rPr>
        <sz val="11"/>
        <color theme="1"/>
        <rFont val="Calibri"/>
        <family val="2"/>
        <scheme val="minor"/>
      </rPr>
      <t xml:space="preserve">
</t>
    </r>
  </si>
  <si>
    <t>Pomme de terre (Charlotte)
Union</t>
  </si>
  <si>
    <t>40t/h Fumier composté 3 ans</t>
  </si>
  <si>
    <t>planté sur 4 lignes</t>
  </si>
  <si>
    <t>Salade (cressonette/till)</t>
  </si>
  <si>
    <t xml:space="preserve">Semé sur 7 rangs avec filet bio pour garder un peu l'humidité. Temps favorable, pas trop mal sorti. </t>
  </si>
  <si>
    <t>Carotte 5 (jaune du doubs)</t>
  </si>
  <si>
    <t>Semé sur 11 lignes. Réussite pas mal.</t>
  </si>
  <si>
    <t>Radis "Flamboyant"</t>
  </si>
  <si>
    <t>Fève - Agadulce (Essembio)</t>
  </si>
  <si>
    <r>
      <t xml:space="preserve">Mâche achetée en plant car semis raté. Complété avec mizuna. Pas mal de perte à la reprise pour les mâche. Elles étaient un peu avancée. 
</t>
    </r>
    <r>
      <rPr>
        <b/>
        <i/>
        <sz val="11"/>
        <color theme="1"/>
        <rFont val="Calibri"/>
        <family val="2"/>
        <scheme val="minor"/>
      </rPr>
      <t>Production Mâche : 9 kg</t>
    </r>
  </si>
  <si>
    <t>Mâche (françoise)</t>
  </si>
  <si>
    <r>
      <t xml:space="preserve">Sur 3 rangs intercalée avec chicorée Cornet d'Anjou.  Production correcte mais dévasté par les mulots. Les fenouils ont eu du mal. Plantation peut-être un peu tardive
</t>
    </r>
    <r>
      <rPr>
        <b/>
        <i/>
        <sz val="11"/>
        <color theme="1"/>
        <rFont val="Calibri"/>
        <family val="2"/>
        <scheme val="minor"/>
      </rPr>
      <t>Production chicorée : 40 unités
Production fenouil : 4 kg</t>
    </r>
  </si>
  <si>
    <t>Fenouil "Rondo" - Chicorée cornet d'Anjou</t>
  </si>
  <si>
    <r>
      <t xml:space="preserve">Semés en jour racine à l'équinoxe d'Automne.
</t>
    </r>
    <r>
      <rPr>
        <b/>
        <i/>
        <sz val="11"/>
        <color theme="1"/>
        <rFont val="Calibri"/>
        <family val="2"/>
        <scheme val="minor"/>
      </rPr>
      <t>Production : 55 bottes</t>
    </r>
  </si>
  <si>
    <r>
      <t xml:space="preserve">Pré arrosage avant, structure plus fine. Résultat mitigé. Un peu mieux qeu le semis précédent mais mauvaise levé au milieu. Remplacé par de la salade storina en juin sur la moitié.
</t>
    </r>
    <r>
      <rPr>
        <b/>
        <i/>
        <sz val="11"/>
        <color theme="1"/>
        <rFont val="Calibri"/>
        <family val="2"/>
        <scheme val="minor"/>
      </rPr>
      <t>Production Salade : 32 unités</t>
    </r>
  </si>
  <si>
    <t>Carotte "touchon" (Gautier)/Salade Storina</t>
  </si>
  <si>
    <r>
      <t xml:space="preserve">Planter en jour feuille . Croissance moyenne (s'étale au lieu de faire un pied resseré) + apparition de ligne marron sur les côtes. Retaillé sévère deux fois pour essayer de faire repartir bien. Au final pas trop mal.
</t>
    </r>
    <r>
      <rPr>
        <b/>
        <i/>
        <sz val="11"/>
        <color theme="1"/>
        <rFont val="Calibri"/>
        <family val="2"/>
        <scheme val="minor"/>
      </rPr>
      <t>Production : 30 bottes</t>
    </r>
  </si>
  <si>
    <t>Blette glatter 3 - Essembio/Coriandre/Persil</t>
  </si>
  <si>
    <r>
      <t xml:space="preserve">Cacahuète sur 2 rangs avec salade intercalée sur 3 rangs. Les cacahuètes n'ont jamais repris. Virées lors d'un deshérbage. Salade correctes. 
</t>
    </r>
    <r>
      <rPr>
        <b/>
        <i/>
        <sz val="11"/>
        <color theme="1"/>
        <rFont val="Calibri"/>
        <family val="2"/>
        <scheme val="minor"/>
      </rPr>
      <t>Production Salade : 52 unités</t>
    </r>
  </si>
  <si>
    <r>
      <t xml:space="preserve">Pas mal de chou en mauvais état (Trop chaud sous le P17)
Pb dans les semis (pas de serres)
Conclusion : Prochaine fois, acheter les plants et filet bio. 
</t>
    </r>
    <r>
      <rPr>
        <b/>
        <i/>
        <sz val="11"/>
        <color theme="1"/>
        <rFont val="Calibri"/>
        <family val="2"/>
        <scheme val="minor"/>
      </rPr>
      <t>Production : 5 kilos</t>
    </r>
  </si>
  <si>
    <t>Chou Romanesco (Germinance)</t>
  </si>
  <si>
    <r>
      <t xml:space="preserve">Mesclun plantée après un ratage de semis de carotte. Les salades ont eu chaud aussi.
Production très moyenne. 
</t>
    </r>
    <r>
      <rPr>
        <b/>
        <i/>
        <sz val="11"/>
        <color theme="1"/>
        <rFont val="Calibri"/>
        <family val="2"/>
        <scheme val="minor"/>
      </rPr>
      <t>Tps de croissance : 60 jours
production : 2kg</t>
    </r>
  </si>
  <si>
    <t xml:space="preserve">Mesclun (FdC/lolo/biscia) - Esse/Ger. 
Qqs fenouil
</t>
  </si>
  <si>
    <t>planté sur 6 ligne 1t/h Orga 3 et 1t/h tourteau avt plantation. Dernière grosse série de mesclun sur 2 planches.</t>
  </si>
  <si>
    <t>Mesclun (dernier)</t>
  </si>
  <si>
    <t>Salade sur 4 lignes et mesclun sur 7</t>
  </si>
  <si>
    <t>Salade (cressonette.till)/mesclun</t>
  </si>
  <si>
    <t xml:space="preserve">Semé sur 3 lignes en poquet à 30. Ajout de 2t/h d'Orga 3 au moment du semis. Mauvaise levée due à de mauvaise graine. Tentative de remplacement par Navet mais mauvaise levée. Resemé en HV. Très bonne production. Relativement exceptionnelle pour des haricot nain. </t>
  </si>
  <si>
    <t>HV 4 (Cupidon)</t>
  </si>
  <si>
    <t>Carotte 5 (jaune du doubs/touchon)</t>
  </si>
  <si>
    <t xml:space="preserve">1t/h de tourteau de ricin avant plantation. Semés sur 7 lignes. Réussite correcte mais jeté pas mal qui étaient devenus trop gros. </t>
  </si>
  <si>
    <t>Radis "Géant de Sicile"</t>
  </si>
  <si>
    <t>Semée sur 2 lignes. Elles ont pris -11°C pendant l'hiver mais on bien résisté. 3ème ligne rajouté en janvier au centre. Mis sous P17 qqs semaines en hiver. Ajout de 1t/h d'Orga 3 en mars en même temps que le 1er buttage. Bonne production. Mieux que la planche 3 et 4</t>
  </si>
  <si>
    <r>
      <t xml:space="preserve">Persil préservé sur la moitié de la planche. Complétée avec un reste de chou, de coriandre et Radis. Bonne production du persil mais dévasté par les souris début octobre. 
A part les radis, peu de résultats sur cette production. Les choux sont resté petits (plantation trop tard). 
</t>
    </r>
    <r>
      <rPr>
        <b/>
        <i/>
        <sz val="11"/>
        <color theme="1"/>
        <rFont val="Calibri"/>
        <family val="2"/>
        <scheme val="minor"/>
      </rPr>
      <t>Production radis : 20° bottes</t>
    </r>
  </si>
  <si>
    <t>Chou/Radis/Chou</t>
  </si>
  <si>
    <r>
      <t xml:space="preserve">Sur 4 rangs. Bonne production mais dévastée par les mulots. 
</t>
    </r>
    <r>
      <rPr>
        <b/>
        <i/>
        <sz val="11"/>
        <color theme="1"/>
        <rFont val="Calibri"/>
        <family val="2"/>
        <scheme val="minor"/>
      </rPr>
      <t>Production chicorée : 30 unités</t>
    </r>
  </si>
  <si>
    <t>Chicorée Sucrine "Pain de sucre"/pain de sucre</t>
  </si>
  <si>
    <r>
      <t xml:space="preserve">Aucune levée !!! Ressemé avec Napoli F1. Pré arrosage avant, structure plus fine. Même echec car beaucoup de vent qui séchait vite la terre. Arrosage ts les jours mais semis encore raté. 3/4 remplacé pour Persil et mizuna. Mizuna vite cramée par les Punaise. Seul le persil a produit. 
</t>
    </r>
    <r>
      <rPr>
        <b/>
        <i/>
        <sz val="11"/>
        <color theme="1"/>
        <rFont val="Calibri"/>
        <family val="2"/>
        <scheme val="minor"/>
      </rPr>
      <t>Production Persil : 63 bottes</t>
    </r>
  </si>
  <si>
    <t>Carotte "Rothild" (essembio)/Napoli F1/mizu/persil</t>
  </si>
  <si>
    <t>Blette glatter 3 - Essembio</t>
  </si>
  <si>
    <r>
      <t xml:space="preserve">Salades plantées sur 2 rangs qqs jour avant puis Turga semé sur 3 lignes en jour racine. Salade de grosse taille et panis correct. 
</t>
    </r>
    <r>
      <rPr>
        <b/>
        <i/>
        <sz val="11"/>
        <color theme="1"/>
        <rFont val="Calibri"/>
        <family val="2"/>
        <scheme val="minor"/>
      </rPr>
      <t>Production Salade : 32 unités
Production Panais : 27 kg</t>
    </r>
  </si>
  <si>
    <t>Panais Turga / Salade Carmen</t>
  </si>
  <si>
    <r>
      <t xml:space="preserve">Plantée après le rattage du chou fleur romanesco (qqs restent)
Bonne réussite - Bonne croissance
</t>
    </r>
    <r>
      <rPr>
        <b/>
        <i/>
        <sz val="11"/>
        <color theme="1"/>
        <rFont val="Calibri"/>
        <family val="2"/>
        <scheme val="minor"/>
      </rPr>
      <t>Production ; 50 unités</t>
    </r>
  </si>
  <si>
    <t>Salade (Sucrine/pasquier)
Germinance</t>
  </si>
  <si>
    <t xml:space="preserve">Mesclun (FdC/lolo/biscia) - Esse/Ger.
</t>
  </si>
  <si>
    <r>
      <t xml:space="preserve">Croissance et récolte très correct. Semé en ligne (6 lignes). 
</t>
    </r>
    <r>
      <rPr>
        <b/>
        <i/>
        <sz val="11"/>
        <color theme="1"/>
        <rFont val="Calibri"/>
        <family val="2"/>
        <scheme val="minor"/>
      </rPr>
      <t>Tps de croissance : 33 jours
Production : 45</t>
    </r>
    <r>
      <rPr>
        <sz val="11"/>
        <color theme="1"/>
        <rFont val="Calibri"/>
        <family val="2"/>
        <scheme val="minor"/>
      </rPr>
      <t xml:space="preserve">
</t>
    </r>
  </si>
  <si>
    <t>Nettoyage après récolte+paillage</t>
  </si>
  <si>
    <r>
      <t xml:space="preserve">Ail planté sur 2 ligne. Bonne croissance mais Rouille en mai.
Tentative avec bouilli bordelaise+arrachage mais trop tard.  Récolte moyenne
</t>
    </r>
    <r>
      <rPr>
        <b/>
        <i/>
        <sz val="11"/>
        <color theme="1"/>
        <rFont val="Calibri"/>
        <family val="2"/>
        <scheme val="minor"/>
      </rPr>
      <t>Tps de croissance : 210 jours
Production :  10 kg</t>
    </r>
    <r>
      <rPr>
        <sz val="11"/>
        <color theme="1"/>
        <rFont val="Calibri"/>
        <family val="2"/>
        <scheme val="minor"/>
      </rPr>
      <t xml:space="preserve">
Conclusion : Faire une bouilli bordelaise dès la germination pour éviter la rouille. </t>
    </r>
  </si>
  <si>
    <t>Ail (Termidor)
Dany</t>
  </si>
  <si>
    <t>80t/h Fumier composté 3 ans</t>
  </si>
  <si>
    <t>80t/h Fumier composté 3 ans + ajout 10t/h en février</t>
  </si>
  <si>
    <t>Moutarde et vesce chétive et éparse. Détruite pour amendement</t>
  </si>
  <si>
    <t>planté sur 6 ligne 1t/h Orga 3 et 1t/h tourteau avt plantation. Dernière grosse série de mesclun sur 2 planches. Production assez correcte car croissance ralentie par le froid</t>
  </si>
  <si>
    <t xml:space="preserve">Dernière série de HV. Peu de graine restante, seulement 3 ou 4 graines par poquet. 2t/h d'orga 3 dans la ligne de plantation. </t>
  </si>
  <si>
    <t xml:space="preserve">HV </t>
  </si>
  <si>
    <t xml:space="preserve">Semé sur 3 lignes en poquet à 30. Ajout de 2t/h d'Orga 3 au moment du semis. Mauvaise levée due à de mauvaise graine. Tentative de remplacement par carotte mais mauvaise levée. Resemé en HV. Très bonne production. Relativement exceptionnelle pour des haricot nain. </t>
  </si>
  <si>
    <t>Carotte 5 (touchon)</t>
  </si>
  <si>
    <t>Semé sur 3 lignes. Planche test sans tourteau de ricin</t>
  </si>
  <si>
    <r>
      <t xml:space="preserve">Epinards plantés sur 2 rangs (+ 1 rangs en semis direct) et Radis sur 3 rangs. Epinard très moyen (plant françoise).
</t>
    </r>
    <r>
      <rPr>
        <b/>
        <sz val="11"/>
        <color theme="1"/>
        <rFont val="Calibri"/>
        <family val="2"/>
        <scheme val="minor"/>
      </rPr>
      <t>Production Radis : 15 bottes
Production Epinard : 10 kg</t>
    </r>
  </si>
  <si>
    <t>Epinard/Radis</t>
  </si>
  <si>
    <r>
      <t xml:space="preserve">Sur 4 rangs en semis direct. Bonne germination, meilleur réussite que pour les semis godets mais culture rattrapée par le froid. Croissance pas finie. 
</t>
    </r>
    <r>
      <rPr>
        <b/>
        <i/>
        <sz val="11"/>
        <color theme="1"/>
        <rFont val="Calibri"/>
        <family val="2"/>
        <scheme val="minor"/>
      </rPr>
      <t>Production : 30 bottes</t>
    </r>
  </si>
  <si>
    <t>Betterave Détroit</t>
  </si>
  <si>
    <r>
      <t xml:space="preserve">6 rangs semés en jour racine. Aucune levée. Galère. Remplacé par la salade storina. Les salades ont très bien données. Seulement une vingtaines de perdues vers les fin. 
</t>
    </r>
    <r>
      <rPr>
        <b/>
        <i/>
        <sz val="11"/>
        <color theme="1"/>
        <rFont val="Calibri"/>
        <family val="2"/>
        <scheme val="minor"/>
      </rPr>
      <t>Production salade : 128 unités</t>
    </r>
  </si>
  <si>
    <t>Carotte "touchon" (essembio)/Salade storina (Gautier)</t>
  </si>
  <si>
    <t>Salade (Laitue d'hiver/dorée)
Germinance/Girerd</t>
  </si>
  <si>
    <r>
      <t xml:space="preserve">Salade plantée après un ratage de semis de carotte. Les salades ont eu chaud aussi.
Production très moyenne. 
</t>
    </r>
    <r>
      <rPr>
        <b/>
        <i/>
        <sz val="11"/>
        <color theme="1"/>
        <rFont val="Calibri"/>
        <family val="2"/>
        <scheme val="minor"/>
      </rPr>
      <t>Tps de croissance : 64 jours
production : 30 unités(50% de chaque)</t>
    </r>
  </si>
  <si>
    <t xml:space="preserve">Salade (rougette/pain de surcre) - Esse/Ger.
</t>
  </si>
  <si>
    <r>
      <t xml:space="preserve">Mauvaise croissance. Les mottes restent compactes.
</t>
    </r>
    <r>
      <rPr>
        <b/>
        <i/>
        <sz val="11"/>
        <color theme="1"/>
        <rFont val="Calibri"/>
        <family val="2"/>
        <scheme val="minor"/>
      </rPr>
      <t>Tps de croissance : 43 jours
Production : 2kg</t>
    </r>
    <r>
      <rPr>
        <sz val="11"/>
        <color theme="1"/>
        <rFont val="Calibri"/>
        <family val="2"/>
        <scheme val="minor"/>
      </rPr>
      <t xml:space="preserve">
</t>
    </r>
  </si>
  <si>
    <t>Mâche (verte de cambrais)
Essembio</t>
  </si>
  <si>
    <t xml:space="preserve">Semé sur 3 lignes. Pb avec le temps de novembre. Pied pourri. Non tutoré. 
Quasi aucune production. 
Conclusion : Ne pas semer le pt pois à cette époque. Semer en mars. </t>
  </si>
  <si>
    <t xml:space="preserve">Semé sur 3 ligne. Pb avec le temps de novembre. Pied pourri. Non tutoré. 
Quasi aucune production. 
Conclusion : Ne pas semer le pt pois à cette époque. Semer en mars. </t>
  </si>
  <si>
    <r>
      <t xml:space="preserve">Ail planté sur 3 ligne. Bonne croissance mais Rouille en mai. Récolte moyenne
</t>
    </r>
    <r>
      <rPr>
        <b/>
        <i/>
        <sz val="11"/>
        <color theme="1"/>
        <rFont val="Calibri"/>
        <family val="2"/>
        <scheme val="minor"/>
      </rPr>
      <t>Tps de croissance : 210 jours
Production :  14 kg</t>
    </r>
    <r>
      <rPr>
        <sz val="11"/>
        <color theme="1"/>
        <rFont val="Calibri"/>
        <family val="2"/>
        <scheme val="minor"/>
      </rPr>
      <t xml:space="preserve">
Conclusion : Faire une bouilli bordelaise dès la germination pour éviter la rouille. </t>
    </r>
  </si>
  <si>
    <t>100t/h Fumier composté 3 ans + ajout 10t/h en février</t>
  </si>
  <si>
    <t xml:space="preserve">Espacement de 60. 10t/h de fumier de poule et 2t/h de tourteau de ricin avant plantation. Très mauvaise reprise. Courgette repiquer des les trous. Courge complètement raté. Croissance zéro. </t>
  </si>
  <si>
    <t xml:space="preserve">1t/h Orga 3 avt préparation planche et 1 poignée Orga 3 dans le trou de plantation. Tomates tombée malade juste après plantation (grosses pluies). Doublée avec tomate à Lara. Tomates malades bien repartie. Du coup on a tout laissé avec des tomates deux fois plus dense (à 35cm au lieu de 70). Taille plus sévère pour éviter trop de chevauchement. </t>
  </si>
  <si>
    <t>Tomate Ronde "Merveille des Marché"</t>
  </si>
  <si>
    <r>
      <t xml:space="preserve">Très maivaise production. Quasi rien récolté. Est-ce l'exposition plus importante au vent ? 
</t>
    </r>
    <r>
      <rPr>
        <b/>
        <i/>
        <sz val="11"/>
        <color theme="1"/>
        <rFont val="Calibri"/>
        <family val="2"/>
        <scheme val="minor"/>
      </rPr>
      <t>Production : 5 kg</t>
    </r>
  </si>
  <si>
    <t xml:space="preserve"> Tomates Roma/ananas</t>
  </si>
  <si>
    <r>
      <t xml:space="preserve">Variété "Cerise Noire"/"Orange". Quasi aucune production. 
</t>
    </r>
    <r>
      <rPr>
        <b/>
        <i/>
        <sz val="11"/>
        <color theme="1"/>
        <rFont val="Calibri"/>
        <family val="2"/>
        <scheme val="minor"/>
      </rPr>
      <t>Production : 5 kg</t>
    </r>
  </si>
  <si>
    <t>Tomates "Ancienne"/ Tomates Roma/ananas</t>
  </si>
  <si>
    <r>
      <t xml:space="preserve">Variété "Cerise Noire"/"Orange". Quasi aucune production. 
</t>
    </r>
    <r>
      <rPr>
        <b/>
        <i/>
        <sz val="11"/>
        <color theme="1"/>
        <rFont val="Calibri"/>
        <family val="2"/>
        <scheme val="minor"/>
      </rPr>
      <t>Production : 2 kg</t>
    </r>
  </si>
  <si>
    <t>Fraise (ext : mariguette, int. Guariguette)
Françoise (plant frigo non bio mais bio ensuite)</t>
  </si>
  <si>
    <t>20t/h fumier mouton</t>
  </si>
  <si>
    <r>
      <rPr>
        <sz val="11"/>
        <color theme="1"/>
        <rFont val="Calibri"/>
        <family val="2"/>
        <scheme val="minor"/>
      </rPr>
      <t xml:space="preserve">Bon paillage sous P17 au départ - Failli prendre une pourriture/trop chaud et humide
Un peu de souffre et puis bien parti. Très bonne récolte. </t>
    </r>
    <r>
      <rPr>
        <b/>
        <i/>
        <sz val="11"/>
        <color theme="1"/>
        <rFont val="Calibri"/>
        <family val="2"/>
        <scheme val="minor"/>
      </rPr>
      <t xml:space="preserve">
Tps de croissance : 74 jours
Production : 24 kg (sur 8 semaines)
</t>
    </r>
    <r>
      <rPr>
        <sz val="11"/>
        <color theme="1"/>
        <rFont val="Calibri"/>
        <family val="2"/>
        <scheme val="minor"/>
      </rPr>
      <t xml:space="preserve">Conclusion : Attention au départ. Craint l'humide. </t>
    </r>
  </si>
  <si>
    <t>Concombre  (Marketmore)
Germinance</t>
  </si>
  <si>
    <r>
      <rPr>
        <sz val="11"/>
        <color theme="1"/>
        <rFont val="Calibri"/>
        <family val="2"/>
        <scheme val="minor"/>
      </rPr>
      <t>Un départ moyen mais belle réussite ensuite. Graines conservées. Deuxième récolte.</t>
    </r>
    <r>
      <rPr>
        <b/>
        <i/>
        <sz val="11"/>
        <color theme="1"/>
        <rFont val="Calibri"/>
        <family val="2"/>
        <scheme val="minor"/>
      </rPr>
      <t xml:space="preserve">
Tps de croissance : 92 jours
Production : 52 kg</t>
    </r>
  </si>
  <si>
    <t xml:space="preserve">Melon (Charentais cantaloup)
Essembio
</t>
  </si>
  <si>
    <t>Moutarde et vesce chétive et éparse au départ. Vesce/seigle bien reparti au printemps. 
 Détruit pour amendement</t>
  </si>
  <si>
    <t xml:space="preserve">1t/h Orga 3 avt préparation planche. Plantée à 60. Planche non terminée, complétée avec un peu de concombre d'Arménie de chez Dany. Complétement bouffé par les escargot. Replanté en juin. Au final, très mauvaise production. </t>
  </si>
  <si>
    <t>Concombre "Marketmore"</t>
  </si>
  <si>
    <r>
      <t xml:space="preserve">Plantation jour fruit hors période de plantation. Production très moyenne. Les plants sont resté chétifs. 
</t>
    </r>
    <r>
      <rPr>
        <b/>
        <i/>
        <sz val="11"/>
        <color theme="1"/>
        <rFont val="Calibri"/>
        <family val="2"/>
        <scheme val="minor"/>
      </rPr>
      <t xml:space="preserve">Production : 15kg. </t>
    </r>
  </si>
  <si>
    <t>Tomates Roma</t>
  </si>
  <si>
    <t>50t/h fumier mouton+foin+10/h fumier de poule en mai</t>
  </si>
  <si>
    <r>
      <rPr>
        <sz val="11"/>
        <color theme="1"/>
        <rFont val="Calibri"/>
        <family val="2"/>
        <scheme val="minor"/>
      </rPr>
      <t>En semis direct. Certainement pb arrosage. Mal parti et un peu négligé.
Aucune production</t>
    </r>
    <r>
      <rPr>
        <b/>
        <i/>
        <sz val="11"/>
        <color theme="1"/>
        <rFont val="Calibri"/>
        <family val="2"/>
        <scheme val="minor"/>
      </rPr>
      <t xml:space="preserve">
</t>
    </r>
  </si>
  <si>
    <t>80t/h Mouton Frank + 1 bt. Paille</t>
  </si>
  <si>
    <t>60t/h Mouton Frank + 1 bt. Paille</t>
  </si>
  <si>
    <t xml:space="preserve">Ajout de 10t/h de fumier de poule et 1t/h d'Orga 3 avant plantation. Croissance très moyenne même si production constante. </t>
  </si>
  <si>
    <t>Courgette 3 (Cassiope)</t>
  </si>
  <si>
    <r>
      <t xml:space="preserve">Plantation jour fruit hors période de plantation.  Ajout de ferramol bio contre les les limaces. 2ème rajout en, mai avec anti-limace. Production moins importante que les jaunes mais très correcte tout de même. 
</t>
    </r>
    <r>
      <rPr>
        <b/>
        <i/>
        <sz val="11"/>
        <color theme="1"/>
        <rFont val="Calibri"/>
        <family val="2"/>
        <scheme val="minor"/>
      </rPr>
      <t>Production : 40 kg</t>
    </r>
  </si>
  <si>
    <t>Courgette (Parador+Blanche)
Gautier</t>
  </si>
  <si>
    <r>
      <t xml:space="preserve">Plantation jour fruit hors période de plantation.  Ajout de ferramol bio contre les les limaces. Très bonne production et sur une longue période.
</t>
    </r>
    <r>
      <rPr>
        <b/>
        <i/>
        <sz val="11"/>
        <color theme="1"/>
        <rFont val="Calibri"/>
        <family val="2"/>
        <scheme val="minor"/>
      </rPr>
      <t>Production :  80 kg</t>
    </r>
  </si>
  <si>
    <t>Courgette (Parador)
Gautier</t>
  </si>
  <si>
    <r>
      <t xml:space="preserve">Plantation jour fruit hors période de plantation.  Ajout de ferramol bio contre les les limaces. Très bonne production et sur une longue période.
</t>
    </r>
    <r>
      <rPr>
        <b/>
        <i/>
        <sz val="11"/>
        <color theme="1"/>
        <rFont val="Calibri"/>
        <family val="2"/>
        <scheme val="minor"/>
      </rPr>
      <t>Production :  80kg</t>
    </r>
  </si>
  <si>
    <t>50t/h fumiermouton+EV (vesce/raygrass)+1bt. foin</t>
  </si>
  <si>
    <r>
      <t xml:space="preserve">Bon démarrage mais surement manque d'eau. Jaunissement rapide
Une seule récolte. Production moyenne. Ne pas refaire. 
</t>
    </r>
    <r>
      <rPr>
        <b/>
        <i/>
        <sz val="11"/>
        <color theme="1"/>
        <rFont val="Calibri"/>
        <family val="2"/>
        <scheme val="minor"/>
      </rPr>
      <t xml:space="preserve">Tps de croissance : 70 jours
Production : 4kg 
</t>
    </r>
    <r>
      <rPr>
        <sz val="11"/>
        <color theme="1"/>
        <rFont val="Calibri"/>
        <family val="2"/>
        <scheme val="minor"/>
      </rPr>
      <t>Conclusion : attention à l'arrosage (aspersion !!)</t>
    </r>
  </si>
  <si>
    <t>Haricot Coco(Big Borlotto)
Essembio</t>
  </si>
  <si>
    <r>
      <rPr>
        <sz val="11"/>
        <color theme="1"/>
        <rFont val="Calibri"/>
        <family val="2"/>
        <scheme val="minor"/>
      </rPr>
      <t xml:space="preserve">Pas assez arrosé au départ. Haricot tout petit surtout les Purplee.
Reparti avec les pluies d'août et finalement pas si mal. </t>
    </r>
    <r>
      <rPr>
        <b/>
        <i/>
        <sz val="11"/>
        <color theme="1"/>
        <rFont val="Calibri"/>
        <family val="2"/>
        <scheme val="minor"/>
      </rPr>
      <t xml:space="preserve">
Tps de croissance : 58 jours
Production : 12,5 kg
</t>
    </r>
    <r>
      <rPr>
        <sz val="11"/>
        <color theme="1"/>
        <rFont val="Calibri"/>
        <family val="2"/>
        <scheme val="minor"/>
      </rPr>
      <t>Conclusion : Mieux arroser au départ.</t>
    </r>
  </si>
  <si>
    <t>Haricot Vert (Cupidon et Purple teepe)
Essembio</t>
  </si>
  <si>
    <t>Courge Potimarron/ Courgette</t>
  </si>
  <si>
    <t>Tomate Ancienne "Russe"/"Cœur de Bœuf"</t>
  </si>
  <si>
    <t>Tomate Ancienne "Russe"/</t>
  </si>
  <si>
    <r>
      <t xml:space="preserve">Green Zebra / Noire de Crimée. Production très moyenne sur cette partie du terrain. 
</t>
    </r>
    <r>
      <rPr>
        <b/>
        <i/>
        <sz val="11"/>
        <color theme="1"/>
        <rFont val="Calibri"/>
        <family val="2"/>
        <scheme val="minor"/>
      </rPr>
      <t>Production : 8kg</t>
    </r>
  </si>
  <si>
    <t xml:space="preserve">Planter en jour Fruit à 50cm sur paillage marron. Résultat édifiant par rapport au paillage plastique. Les plants sont restés minus. Plantation de courgette entre les aubergines mais aucune production. </t>
  </si>
  <si>
    <t>Aubergine "Black Beauty"/ Courgette (mixte)
Dany</t>
  </si>
  <si>
    <r>
      <t xml:space="preserve">Premiers semés. Terre encore assez fraiche, bonne réussite.
Une seule récolte. Production moyenne. Ne pas refaire. 
</t>
    </r>
    <r>
      <rPr>
        <b/>
        <i/>
        <sz val="11"/>
        <color theme="1"/>
        <rFont val="Calibri"/>
        <family val="2"/>
        <scheme val="minor"/>
      </rPr>
      <t xml:space="preserve">Tps de croissance : 78 jours
Production : 6kg 
</t>
    </r>
    <r>
      <rPr>
        <sz val="11"/>
        <color theme="1"/>
        <rFont val="Calibri"/>
        <family val="2"/>
        <scheme val="minor"/>
      </rPr>
      <t>Conclusion : Bonne période pour premier semis.</t>
    </r>
  </si>
  <si>
    <r>
      <t xml:space="preserve">Premiers HV semé. Terre encore assez fraiche, bonne réussite.
Besoin de plus d'eau ensuite mais production étalée jusque septembre !!!
</t>
    </r>
    <r>
      <rPr>
        <b/>
        <i/>
        <sz val="11"/>
        <color theme="1"/>
        <rFont val="Calibri"/>
        <family val="2"/>
        <scheme val="minor"/>
      </rPr>
      <t xml:space="preserve">Tps de croissance : 64 jours
Production : 16kg 
</t>
    </r>
    <r>
      <rPr>
        <sz val="11"/>
        <color theme="1"/>
        <rFont val="Calibri"/>
        <family val="2"/>
        <scheme val="minor"/>
      </rPr>
      <t>Conclusion : Bonne période pour premier semis.</t>
    </r>
  </si>
  <si>
    <t>Haricot vert (Cupidon)
Essembio</t>
  </si>
  <si>
    <t xml:space="preserve">3t/h de tourteau de ricin dans la raie de semis des Pdt. Très mauvaise croissance malgré l'arrosage. Encore ratage complet. </t>
  </si>
  <si>
    <t>Pomme de terre Dita</t>
  </si>
  <si>
    <t xml:space="preserve">a jout de 1,5t/h tourteau ricin à la plantation. Plantés sur 4 rangs. Quasiemment complétement enterré après un coup de vente. Aucune récolte, rattage complet. </t>
  </si>
  <si>
    <t>Epinard (Falco F1)</t>
  </si>
  <si>
    <t xml:space="preserve">1t/h Orga 3 avt préparation planche et 1 poignée Orga 3 dans le trou de plantation. Tomates tombée malade juste après plantation (grosses pluies). Doublée avec tomate à Thierry. Tomates malades bien repartie. Du coup on a tout laissé avec des tomates deux fois plus dense (à 35cm au lieu de 70). Taille plus sévère pour éviter trop de chevauchement. </t>
  </si>
  <si>
    <t>Tomate Ancienne "Green Zebra"/"Ananas"</t>
  </si>
  <si>
    <t>Tomate Ancienne "Green Zebra"</t>
  </si>
  <si>
    <r>
      <t xml:space="preserve">Plantées en jour fruit-période de plantation. Attaquée par les escargots. Certains plant on survécu mais les autres ont été remplacés. Rajout de plants de la série 2 mais directement bouffé. Rajout en mai avec un peu d'antilimace.
</t>
    </r>
    <r>
      <rPr>
        <b/>
        <i/>
        <sz val="11"/>
        <color theme="1"/>
        <rFont val="Calibri"/>
        <family val="2"/>
        <scheme val="minor"/>
      </rPr>
      <t>Production : 20 kg</t>
    </r>
  </si>
  <si>
    <t>Courgette (Blanche d'Egypte)
Sélection 2015</t>
  </si>
  <si>
    <r>
      <t xml:space="preserve">Plantées en jour fruit-période de plantation. Utilisation d'anti-limace. Très bonne production même si tout cela a eu bien du mal à démarrer. 
</t>
    </r>
    <r>
      <rPr>
        <b/>
        <i/>
        <sz val="11"/>
        <color theme="1"/>
        <rFont val="Calibri"/>
        <family val="2"/>
        <scheme val="minor"/>
      </rPr>
      <t>Production : 60 kg</t>
    </r>
  </si>
  <si>
    <t>Courgette (Cassiope)
Gautier</t>
  </si>
  <si>
    <r>
      <t xml:space="preserve">Arrosé régulièrement à la raie et biné. Beau démarrage mais arrêté par le gel en octobre.
</t>
    </r>
    <r>
      <rPr>
        <b/>
        <i/>
        <sz val="11"/>
        <color theme="1"/>
        <rFont val="Calibri"/>
        <family val="2"/>
        <scheme val="minor"/>
      </rPr>
      <t>Temps de Croissance : 60 jours
Production : 3kg</t>
    </r>
  </si>
  <si>
    <t>Haricot Vert (Cupidon) - 1 ligne
Essembio</t>
  </si>
  <si>
    <r>
      <t xml:space="preserve">En semis direct. La moins pire des 4 planches.
</t>
    </r>
    <r>
      <rPr>
        <b/>
        <i/>
        <sz val="11"/>
        <color theme="1"/>
        <rFont val="Calibri"/>
        <family val="2"/>
        <scheme val="minor"/>
      </rPr>
      <t>Tps de croissance : 120 jours
Production : 13 kg</t>
    </r>
    <r>
      <rPr>
        <sz val="11"/>
        <color theme="1"/>
        <rFont val="Calibri"/>
        <family val="2"/>
        <scheme val="minor"/>
      </rPr>
      <t xml:space="preserve">
Conclusion : Plus arroser et en aspersion.</t>
    </r>
  </si>
  <si>
    <t>Butternut (waltham)
(villmorin)</t>
  </si>
  <si>
    <r>
      <t xml:space="preserve">Démarrage poussir mais bonne production ensuite jusque tard (septembre).
Arrosage moyen, besoin d'être taillé régulièrement pour limiter la montaison. 
Bonne saveur, bonne apréciation même si récolte un peu difficile
</t>
    </r>
    <r>
      <rPr>
        <b/>
        <i/>
        <sz val="11"/>
        <color theme="1"/>
        <rFont val="Calibri"/>
        <family val="2"/>
        <scheme val="minor"/>
      </rPr>
      <t>Tps de croissance :  70 jours
Production : 30 bttes</t>
    </r>
  </si>
  <si>
    <t>Basilic (Petit Marseillais)
essembio</t>
  </si>
  <si>
    <t xml:space="preserve">Plants de mauvaise qualité/fragile. Période très chaude, attaqué par les punaises.
La moitié arraché pour mettre du haricot et le reste n'a rien produit. 
Conclusion : Filet bio+achat plants. Macération ail contre punaise. </t>
  </si>
  <si>
    <t>Chou De Bruxelle (sanda)
Germinance</t>
  </si>
  <si>
    <t xml:space="preserve">Retrait des Cebette du centre et plantation des courgette au milieu. Dernière série avec une très mauvaise reprise (pb arrosage). Plein non développé. </t>
  </si>
  <si>
    <t>Courgette (Parador)</t>
  </si>
  <si>
    <t>Epinard (Falco F1/Géant d'Amérique)</t>
  </si>
  <si>
    <t xml:space="preserve">Planté sur 3 rangs oignon et 2 rang salade. Ajout de 1t/h d'Orga 3 et 1t/h de tourteau de ricin à la plantation. </t>
  </si>
  <si>
    <t>Cébette "oignon blanc"+ salade</t>
  </si>
  <si>
    <r>
      <t xml:space="preserve">Variété "Merveille des marchés". Production très moyenne sur cette partie du terrain. 
</t>
    </r>
    <r>
      <rPr>
        <b/>
        <i/>
        <sz val="11"/>
        <color theme="1"/>
        <rFont val="Calibri"/>
        <family val="2"/>
        <scheme val="minor"/>
      </rPr>
      <t>Production : 8kg</t>
    </r>
  </si>
  <si>
    <r>
      <t xml:space="preserve">Variété "green zebra"/. Production très moyenne sur cette partie du terrain. 
</t>
    </r>
    <r>
      <rPr>
        <b/>
        <i/>
        <sz val="11"/>
        <color theme="1"/>
        <rFont val="Calibri"/>
        <family val="2"/>
        <scheme val="minor"/>
      </rPr>
      <t>Production : 8kg</t>
    </r>
  </si>
  <si>
    <r>
      <t xml:space="preserve">Variété "Grosse Serge". Production très moyenne sur cette partie du terrain. 
</t>
    </r>
    <r>
      <rPr>
        <b/>
        <i/>
        <sz val="11"/>
        <color theme="1"/>
        <rFont val="Calibri"/>
        <family val="2"/>
        <scheme val="minor"/>
      </rPr>
      <t>Production : 8kg</t>
    </r>
  </si>
  <si>
    <r>
      <t xml:space="preserve">Arrosé régulièrement à la raie et biné. Bonne production sur 2 floraisons; 
</t>
    </r>
    <r>
      <rPr>
        <b/>
        <i/>
        <sz val="11"/>
        <color theme="1"/>
        <rFont val="Calibri"/>
        <family val="2"/>
        <scheme val="minor"/>
      </rPr>
      <t>Temps de Croissance : 53 jours
Production : 6kg</t>
    </r>
  </si>
  <si>
    <r>
      <t xml:space="preserve">En semis direct. Quasi aucune production. Plante correcte mais peu de fleur.
</t>
    </r>
    <r>
      <rPr>
        <b/>
        <i/>
        <sz val="11"/>
        <color theme="1"/>
        <rFont val="Calibri"/>
        <family val="2"/>
        <scheme val="minor"/>
      </rPr>
      <t>Tps de croissance : 110 jours
Production : 6 kg</t>
    </r>
    <r>
      <rPr>
        <sz val="11"/>
        <color theme="1"/>
        <rFont val="Calibri"/>
        <family val="2"/>
        <scheme val="minor"/>
      </rPr>
      <t xml:space="preserve">
Conclusion : Plus arroser et en aspersion.</t>
    </r>
  </si>
  <si>
    <t>Potiron (rouge vif d'estampe)
(tezier)</t>
  </si>
  <si>
    <t xml:space="preserve">Planté à 60. Ajout d'une poignée de mélange Orga 3 et tourteau dans le trou de plantation. </t>
  </si>
  <si>
    <t>10t/h fumier de poule + 1t/h Orga 3</t>
  </si>
  <si>
    <t>Epinard (Matador/Géant d'Amérique)</t>
  </si>
  <si>
    <t xml:space="preserve">Planté sur 8 rangs. Ajout de 1t/h d'Orga 3 et 1t/h de tourteau de ricin à la plantation. </t>
  </si>
  <si>
    <t>mâche (vit)</t>
  </si>
  <si>
    <t>mâche (duplex/vit)</t>
  </si>
  <si>
    <r>
      <t xml:space="preserve">Planter en jour Fruit à 50cm sur paillage marron. Bien partie mais très vite, la plante a végétée et est tombé malade. Très mauvaise production. Vraiement de raisons trouvé si ce n'est eut-être des grosses différences de température entre  le jour et la nuit. peut-être un défaut dans le sol. 
</t>
    </r>
    <r>
      <rPr>
        <b/>
        <i/>
        <sz val="11"/>
        <color theme="1"/>
        <rFont val="Calibri"/>
        <family val="2"/>
        <scheme val="minor"/>
      </rPr>
      <t>Production : 6kg</t>
    </r>
  </si>
  <si>
    <t>Aubergine "Black Beauty"
Dany</t>
  </si>
  <si>
    <t>50t/h fumier mouton+foin+10/h fumier poule en mai</t>
  </si>
  <si>
    <r>
      <t xml:space="preserve">Arrosé régulièrement à la raie et biné. Bonne production sur 2 floraisons; 
</t>
    </r>
    <r>
      <rPr>
        <b/>
        <i/>
        <sz val="11"/>
        <color theme="1"/>
        <rFont val="Calibri"/>
        <family val="2"/>
        <scheme val="minor"/>
      </rPr>
      <t>Temps de Croissance : 53 jours
Production : 10g</t>
    </r>
  </si>
  <si>
    <r>
      <t xml:space="preserve">Arrosé régulièrement à la raie et biné. Beau démarrage mais arrêté par le gel en octobre.
</t>
    </r>
    <r>
      <rPr>
        <b/>
        <i/>
        <sz val="11"/>
        <color theme="1"/>
        <rFont val="Calibri"/>
        <family val="2"/>
        <scheme val="minor"/>
      </rPr>
      <t>Temps de Croissance : 60 jours
Production : 6kg</t>
    </r>
  </si>
  <si>
    <r>
      <t xml:space="preserve">En semis direct. Quasi aucune production. Potimarron tachés.
</t>
    </r>
    <r>
      <rPr>
        <b/>
        <i/>
        <sz val="11"/>
        <color theme="1"/>
        <rFont val="Calibri"/>
        <family val="2"/>
        <scheme val="minor"/>
      </rPr>
      <t>Production : quelques kg</t>
    </r>
  </si>
  <si>
    <t>Potimarron 
Tezier</t>
  </si>
  <si>
    <r>
      <t xml:space="preserve">FdC blonde montée en graine très rapidemment. Reste potable. 
Récolte petite au départ (en tout sur 3 semaines).
</t>
    </r>
    <r>
      <rPr>
        <b/>
        <i/>
        <sz val="11"/>
        <color theme="1"/>
        <rFont val="Calibri"/>
        <family val="2"/>
        <scheme val="minor"/>
      </rPr>
      <t>Tps de croissance :  60 jours
Production : 60 unités</t>
    </r>
  </si>
  <si>
    <t>Salade (Rougette/pasquier)
Germinance/essembio</t>
  </si>
  <si>
    <r>
      <t xml:space="preserve">Période déjà trop chaude. Montée en graine rapide. Seule les Biscia résistent un peu.
</t>
    </r>
    <r>
      <rPr>
        <b/>
        <i/>
        <sz val="11"/>
        <color theme="1"/>
        <rFont val="Calibri"/>
        <family val="2"/>
        <scheme val="minor"/>
      </rPr>
      <t>Tps de croissance : 60 jours.
Production  : 2 kg</t>
    </r>
  </si>
  <si>
    <t>Mesclun (Biscia/FdeC rouge/lolo)
Essembio/Germinance</t>
  </si>
  <si>
    <t>Pas trop mal parti mais production très mauvaise. A trop chauffé au soleil.*</t>
  </si>
  <si>
    <t>Melon (cantaloup)</t>
  </si>
  <si>
    <t xml:space="preserve">Planté sur 5 rangs. Ajout de 1t/h d'Orga 3 et 1t/h de tourteau de ricin à la plantation. </t>
  </si>
  <si>
    <t>Mesclun (Epinard/betterave/Salade)</t>
  </si>
  <si>
    <t xml:space="preserve">Planté sur 6 rangs. Ajout de 1t/h d'Orga 3 et 1t/h de tourteau de ricin à la plantation. </t>
  </si>
  <si>
    <t>Mesclun (Salade/Moutarde/mizuna)</t>
  </si>
  <si>
    <r>
      <t xml:space="preserve">Variété "Black Cherry". Bonne production du début à la fin même si maladie dessus. 
</t>
    </r>
    <r>
      <rPr>
        <b/>
        <i/>
        <sz val="11"/>
        <color theme="1"/>
        <rFont val="Calibri"/>
        <family val="2"/>
        <scheme val="minor"/>
      </rPr>
      <t>Production : 15kg</t>
    </r>
  </si>
  <si>
    <t>Tomates "Cerise"</t>
  </si>
  <si>
    <t>Tomates "Cerise"+Basilic "grand vert"</t>
  </si>
  <si>
    <t>50t/h fumiermouton+EV (vesce/raygrass)+paille</t>
  </si>
  <si>
    <t>Potimarron 
(semence Dany)</t>
  </si>
  <si>
    <r>
      <t xml:space="preserve">FdC blonde montée en graine très rapidemment. Reste potable.
</t>
    </r>
    <r>
      <rPr>
        <b/>
        <i/>
        <sz val="11"/>
        <color theme="1"/>
        <rFont val="Calibri"/>
        <family val="2"/>
        <scheme val="minor"/>
      </rPr>
      <t>Tps de croissance : 54 jours
Production : 7 kg</t>
    </r>
  </si>
  <si>
    <t>Mesclun (FdeC rouget et Blonde /Biscia)
Germinance</t>
  </si>
  <si>
    <r>
      <t xml:space="preserve">Période déjà trop chaude. Montée en graine rapide. Seule les rougette résiste un peu.
</t>
    </r>
    <r>
      <rPr>
        <b/>
        <i/>
        <sz val="11"/>
        <color theme="1"/>
        <rFont val="Calibri"/>
        <family val="2"/>
        <scheme val="minor"/>
      </rPr>
      <t>Tps de croissance : 60 jours.
Production  : 26 unité</t>
    </r>
  </si>
  <si>
    <t>Salade (Rougette/Pasquier/Pierre Bénite)
Essembio/Germinance</t>
  </si>
  <si>
    <t>Unité de production</t>
  </si>
  <si>
    <t>botte/kg</t>
  </si>
  <si>
    <t>pièce</t>
  </si>
  <si>
    <t>bouquet</t>
  </si>
  <si>
    <t xml:space="preserve">botte </t>
  </si>
  <si>
    <r>
      <t xml:space="preserve">Plantation en jour fruit
Démarrage lent / feuilles recourbées
Attaquées par chenille+limace/punaiqz (fin été)
</t>
    </r>
    <r>
      <rPr>
        <b/>
        <i/>
        <sz val="11"/>
        <color theme="1"/>
        <rFont val="Calibri"/>
        <family val="2"/>
        <scheme val="minor"/>
      </rPr>
      <t>Production : 20 kg/11 plants</t>
    </r>
    <r>
      <rPr>
        <sz val="11"/>
        <color theme="1"/>
        <rFont val="Calibri"/>
        <family val="2"/>
        <scheme val="minor"/>
      </rPr>
      <t xml:space="preserve">
Bilan : A refaire/sélection graine+attention arrosage important l'été</t>
    </r>
  </si>
  <si>
    <t>40t/h fumier âne+1bt. foin</t>
  </si>
  <si>
    <t xml:space="preserve">1t/h Orga 3 avt préparation planche et 1 poignée Orga 3 dans le trou de plantation. Tomates bien attaquée après une pluie. On les a crue morte !! Doublée par Olivette, Cerise rouge, Poire rouge et Reine d'or de chez Dany. Très bonne production, précoce et tardive. Nettoyée régulièrement car feuille un peu malade. </t>
  </si>
  <si>
    <t>juil.-Oct.</t>
  </si>
</sst>
</file>

<file path=xl/styles.xml><?xml version="1.0" encoding="utf-8"?>
<styleSheet xmlns="http://schemas.openxmlformats.org/spreadsheetml/2006/main">
  <numFmts count="4">
    <numFmt numFmtId="44" formatCode="_-* #,##0.00\ &quot;€&quot;_-;\-* #,##0.00\ &quot;€&quot;_-;_-* &quot;-&quot;??\ &quot;€&quot;_-;_-@_-"/>
    <numFmt numFmtId="164" formatCode="[$-40C]d\-mmm;@"/>
    <numFmt numFmtId="165" formatCode="0.0"/>
    <numFmt numFmtId="166" formatCode="[$-40C]d\-mmm\-yy;@"/>
  </numFmts>
  <fonts count="23">
    <font>
      <sz val="11"/>
      <color theme="1"/>
      <name val="Calibri"/>
      <family val="2"/>
      <scheme val="minor"/>
    </font>
    <font>
      <sz val="9"/>
      <color theme="1"/>
      <name val="Calibri"/>
      <family val="2"/>
      <scheme val="minor"/>
    </font>
    <font>
      <sz val="11"/>
      <color theme="1"/>
      <name val="Times New Roman"/>
      <family val="1"/>
    </font>
    <font>
      <sz val="8"/>
      <color theme="1"/>
      <name val="Arial"/>
      <family val="2"/>
    </font>
    <font>
      <sz val="14"/>
      <color theme="1"/>
      <name val="Arial"/>
      <family val="2"/>
    </font>
    <font>
      <sz val="7"/>
      <color theme="1"/>
      <name val="Calibri"/>
      <family val="2"/>
      <scheme val="minor"/>
    </font>
    <font>
      <sz val="8"/>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sz val="20"/>
      <color theme="1"/>
      <name val="Calibri"/>
      <family val="2"/>
      <scheme val="minor"/>
    </font>
    <font>
      <sz val="9"/>
      <color theme="1"/>
      <name val="Calibri"/>
      <family val="2"/>
      <scheme val="minor"/>
    </font>
    <font>
      <sz val="9"/>
      <color theme="1"/>
      <name val="Calibri"/>
      <family val="2"/>
      <scheme val="minor"/>
    </font>
    <font>
      <sz val="11"/>
      <color theme="1"/>
      <name val="Calibri"/>
      <family val="2"/>
      <scheme val="minor"/>
    </font>
    <font>
      <sz val="9"/>
      <color theme="1"/>
      <name val="Calibri"/>
      <family val="2"/>
      <scheme val="minor"/>
    </font>
    <font>
      <sz val="6"/>
      <color theme="1"/>
      <name val="Calibri"/>
      <family val="2"/>
      <scheme val="minor"/>
    </font>
    <font>
      <sz val="9"/>
      <color theme="1"/>
      <name val="Calibri"/>
      <family val="2"/>
      <scheme val="minor"/>
    </font>
    <font>
      <sz val="9"/>
      <color theme="1"/>
      <name val="Calibri"/>
      <family val="2"/>
      <scheme val="minor"/>
    </font>
    <font>
      <b/>
      <i/>
      <sz val="11"/>
      <color theme="1"/>
      <name val="Calibri"/>
      <family val="2"/>
      <scheme val="minor"/>
    </font>
    <font>
      <b/>
      <sz val="20"/>
      <color theme="1"/>
      <name val="Calibri"/>
      <family val="2"/>
      <scheme val="minor"/>
    </font>
    <font>
      <b/>
      <sz val="48"/>
      <color theme="1"/>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9" tint="0.59999389629810485"/>
        <bgColor theme="7" tint="0.59999389629810485"/>
      </patternFill>
    </fill>
    <fill>
      <patternFill patternType="solid">
        <fgColor theme="6"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right/>
      <top/>
      <bottom/>
      <diagonal style="thin">
        <color auto="1"/>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right style="thin">
        <color indexed="64"/>
      </right>
      <top/>
      <bottom/>
      <diagonal style="thin">
        <color auto="1"/>
      </diagonal>
    </border>
    <border diagonalUp="1">
      <left/>
      <right/>
      <top/>
      <bottom style="thin">
        <color indexed="64"/>
      </bottom>
      <diagonal style="thin">
        <color auto="1"/>
      </diagonal>
    </border>
    <border diagonalUp="1">
      <left/>
      <right style="thin">
        <color indexed="64"/>
      </right>
      <top/>
      <bottom style="thin">
        <color indexed="64"/>
      </bottom>
      <diagonal style="thin">
        <color auto="1"/>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xf numFmtId="44" fontId="15" fillId="0" borderId="0" applyFont="0" applyFill="0" applyBorder="0" applyAlignment="0" applyProtection="0"/>
  </cellStyleXfs>
  <cellXfs count="203">
    <xf numFmtId="0" fontId="0" fillId="0" borderId="0" xfId="0"/>
    <xf numFmtId="0" fontId="1" fillId="0" borderId="0" xfId="0" applyFont="1"/>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0" fillId="0" borderId="0" xfId="0" applyAlignment="1"/>
    <xf numFmtId="0" fontId="0" fillId="0" borderId="0" xfId="0" applyAlignment="1">
      <alignment horizontal="left" vertical="center" wrapText="1"/>
    </xf>
    <xf numFmtId="0" fontId="2" fillId="0" borderId="0" xfId="0" applyFont="1"/>
    <xf numFmtId="0" fontId="2" fillId="0" borderId="0" xfId="0" applyFont="1" applyAlignment="1">
      <alignment horizontal="left" vertical="center" wrapText="1"/>
    </xf>
    <xf numFmtId="0" fontId="0" fillId="0" borderId="0" xfId="0" applyAlignment="1">
      <alignment horizontal="left" vertical="center"/>
    </xf>
    <xf numFmtId="0" fontId="3" fillId="0" borderId="0" xfId="0" applyFont="1"/>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0" fillId="0" borderId="0" xfId="0" applyAlignment="1">
      <alignment vertical="center" wrapText="1"/>
    </xf>
    <xf numFmtId="0" fontId="6"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Fill="1"/>
    <xf numFmtId="0" fontId="0" fillId="0" borderId="0" xfId="0" applyFill="1" applyAlignment="1">
      <alignment horizontal="left" vertical="center"/>
    </xf>
    <xf numFmtId="0" fontId="0" fillId="0" borderId="0" xfId="0" applyFill="1"/>
    <xf numFmtId="0" fontId="0" fillId="0" borderId="0" xfId="0" applyBorder="1"/>
    <xf numFmtId="0" fontId="5" fillId="0" borderId="0" xfId="0" applyFont="1" applyBorder="1" applyAlignment="1">
      <alignment horizontal="center" vertical="center" wrapText="1"/>
    </xf>
    <xf numFmtId="0" fontId="5" fillId="2" borderId="0" xfId="0" applyFont="1" applyFill="1" applyBorder="1" applyAlignment="1">
      <alignment wrapText="1"/>
    </xf>
    <xf numFmtId="0" fontId="5" fillId="0" borderId="0" xfId="0" applyFont="1" applyBorder="1" applyAlignment="1">
      <alignment wrapText="1"/>
    </xf>
    <xf numFmtId="0" fontId="4" fillId="4" borderId="0" xfId="0" applyFont="1" applyFill="1" applyAlignment="1">
      <alignment horizontal="center" vertical="center"/>
    </xf>
    <xf numFmtId="0" fontId="0" fillId="4" borderId="0" xfId="0" applyFill="1" applyAlignment="1">
      <alignment horizontal="left" vertical="center"/>
    </xf>
    <xf numFmtId="0" fontId="2" fillId="0" borderId="0" xfId="0" applyFont="1" applyAlignment="1">
      <alignment vertical="center" wrapText="1"/>
    </xf>
    <xf numFmtId="0" fontId="0" fillId="4" borderId="0" xfId="0" applyFill="1" applyAlignment="1">
      <alignment horizontal="left" vertical="center" wrapText="1"/>
    </xf>
    <xf numFmtId="0" fontId="7" fillId="4" borderId="0" xfId="0" applyFont="1" applyFill="1" applyAlignment="1">
      <alignment horizontal="left" vertical="center"/>
    </xf>
    <xf numFmtId="0" fontId="0" fillId="4" borderId="0" xfId="0" applyFill="1" applyAlignment="1"/>
    <xf numFmtId="0" fontId="0" fillId="4" borderId="0" xfId="0" applyFill="1"/>
    <xf numFmtId="0" fontId="0" fillId="5" borderId="0" xfId="0" applyFill="1" applyBorder="1" applyAlignment="1">
      <alignment vertical="center"/>
    </xf>
    <xf numFmtId="0" fontId="0" fillId="6" borderId="0" xfId="0" applyFill="1" applyBorder="1" applyAlignment="1">
      <alignment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1" fontId="13" fillId="0" borderId="0" xfId="0" applyNumberFormat="1" applyFont="1" applyAlignment="1">
      <alignment horizontal="center" vertical="center" wrapText="1"/>
    </xf>
    <xf numFmtId="164" fontId="13" fillId="0" borderId="0" xfId="0" applyNumberFormat="1" applyFont="1" applyAlignment="1">
      <alignment horizontal="center" vertical="center" wrapText="1"/>
    </xf>
    <xf numFmtId="1" fontId="14" fillId="0" borderId="0" xfId="0" applyNumberFormat="1" applyFont="1" applyAlignment="1">
      <alignment horizontal="center" vertical="center" wrapText="1"/>
    </xf>
    <xf numFmtId="164" fontId="14" fillId="0" borderId="0" xfId="0" applyNumberFormat="1" applyFont="1" applyAlignment="1">
      <alignment horizontal="center" vertical="center" wrapText="1"/>
    </xf>
    <xf numFmtId="0" fontId="14" fillId="0" borderId="0" xfId="0" applyFont="1" applyBorder="1" applyAlignment="1">
      <alignment horizontal="center" vertical="center" wrapText="1"/>
    </xf>
    <xf numFmtId="164" fontId="14" fillId="0" borderId="0" xfId="0" applyNumberFormat="1" applyFont="1" applyBorder="1" applyAlignment="1">
      <alignment horizontal="center" vertical="center" wrapText="1"/>
    </xf>
    <xf numFmtId="1" fontId="14" fillId="0" borderId="0" xfId="0" applyNumberFormat="1" applyFont="1" applyBorder="1" applyAlignment="1">
      <alignment horizontal="center" vertical="center" wrapText="1"/>
    </xf>
    <xf numFmtId="0" fontId="1" fillId="0" borderId="0" xfId="0" applyFont="1" applyBorder="1" applyAlignment="1">
      <alignment wrapText="1"/>
    </xf>
    <xf numFmtId="166" fontId="14"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166" fontId="1" fillId="0" borderId="0"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44" fontId="1" fillId="0" borderId="0" xfId="1" applyFont="1" applyBorder="1" applyAlignment="1">
      <alignment horizontal="center" vertical="center" wrapText="1"/>
    </xf>
    <xf numFmtId="166" fontId="8" fillId="0" borderId="0" xfId="0" applyNumberFormat="1" applyFont="1" applyBorder="1" applyAlignment="1">
      <alignment horizontal="center" vertical="center" wrapText="1"/>
    </xf>
    <xf numFmtId="1" fontId="8" fillId="0" borderId="0" xfId="0" applyNumberFormat="1" applyFont="1" applyBorder="1" applyAlignment="1">
      <alignment horizontal="center" vertical="center" wrapText="1"/>
    </xf>
    <xf numFmtId="0" fontId="1" fillId="2" borderId="0" xfId="0" applyFont="1" applyFill="1" applyBorder="1" applyAlignment="1">
      <alignment wrapText="1"/>
    </xf>
    <xf numFmtId="166" fontId="1" fillId="2" borderId="0" xfId="0" applyNumberFormat="1" applyFont="1" applyFill="1" applyBorder="1" applyAlignment="1">
      <alignment wrapText="1"/>
    </xf>
    <xf numFmtId="1" fontId="1" fillId="2" borderId="0" xfId="0" applyNumberFormat="1" applyFont="1" applyFill="1" applyBorder="1" applyAlignment="1">
      <alignment wrapText="1"/>
    </xf>
    <xf numFmtId="166" fontId="1" fillId="0" borderId="0" xfId="0" applyNumberFormat="1" applyFont="1" applyBorder="1" applyAlignment="1">
      <alignment wrapText="1"/>
    </xf>
    <xf numFmtId="1" fontId="1" fillId="0" borderId="0" xfId="0" applyNumberFormat="1" applyFont="1" applyBorder="1" applyAlignment="1">
      <alignment wrapText="1"/>
    </xf>
    <xf numFmtId="0" fontId="1" fillId="0" borderId="0" xfId="0" applyFont="1" applyBorder="1"/>
    <xf numFmtId="165"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2" fontId="1" fillId="3" borderId="0" xfId="0" applyNumberFormat="1" applyFont="1" applyFill="1" applyBorder="1" applyAlignment="1">
      <alignment horizontal="center" vertical="center" wrapText="1"/>
    </xf>
    <xf numFmtId="2" fontId="1" fillId="0" borderId="0" xfId="0" applyNumberFormat="1" applyFont="1" applyBorder="1" applyAlignment="1">
      <alignment wrapText="1"/>
    </xf>
    <xf numFmtId="0" fontId="16" fillId="0" borderId="0" xfId="0" applyFont="1" applyAlignment="1">
      <alignment horizontal="left"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1" fontId="16" fillId="0" borderId="0" xfId="0" applyNumberFormat="1" applyFont="1" applyAlignment="1">
      <alignment horizontal="center" vertical="center" wrapText="1"/>
    </xf>
    <xf numFmtId="0" fontId="13" fillId="0" borderId="0" xfId="0" applyNumberFormat="1" applyFont="1" applyAlignment="1">
      <alignment horizontal="center" vertical="center" wrapText="1"/>
    </xf>
    <xf numFmtId="0" fontId="16" fillId="0" borderId="0" xfId="0" applyNumberFormat="1" applyFont="1" applyAlignment="1">
      <alignment horizontal="center" vertical="center" wrapText="1"/>
    </xf>
    <xf numFmtId="0" fontId="11" fillId="0" borderId="0" xfId="0" applyFont="1" applyBorder="1"/>
    <xf numFmtId="0" fontId="11" fillId="0" borderId="0" xfId="0" applyFont="1" applyBorder="1" applyAlignment="1">
      <alignment horizontal="center" vertical="center"/>
    </xf>
    <xf numFmtId="0" fontId="10" fillId="6" borderId="0" xfId="0" applyFont="1" applyFill="1" applyBorder="1" applyAlignment="1">
      <alignment horizontal="center" vertical="center"/>
    </xf>
    <xf numFmtId="0" fontId="16" fillId="0" borderId="0" xfId="0" applyFont="1" applyBorder="1" applyAlignment="1">
      <alignment horizontal="center" vertical="center" wrapText="1"/>
    </xf>
    <xf numFmtId="164" fontId="16" fillId="0" borderId="0" xfId="0" applyNumberFormat="1" applyFont="1" applyBorder="1" applyAlignment="1">
      <alignment horizontal="center" vertical="center" wrapText="1"/>
    </xf>
    <xf numFmtId="1" fontId="16" fillId="0" borderId="0" xfId="0" applyNumberFormat="1" applyFont="1" applyBorder="1" applyAlignment="1">
      <alignment horizontal="center" vertical="center" wrapText="1"/>
    </xf>
    <xf numFmtId="166" fontId="16"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164" fontId="17" fillId="0" borderId="0" xfId="0" applyNumberFormat="1" applyFont="1" applyBorder="1" applyAlignment="1">
      <alignment horizontal="center" vertical="center" wrapText="1"/>
    </xf>
    <xf numFmtId="1" fontId="17" fillId="0" borderId="0" xfId="0" applyNumberFormat="1" applyFont="1" applyBorder="1" applyAlignment="1">
      <alignment horizontal="center" vertical="center" wrapText="1"/>
    </xf>
    <xf numFmtId="166" fontId="17" fillId="0" borderId="0" xfId="0" applyNumberFormat="1" applyFont="1" applyBorder="1" applyAlignment="1">
      <alignment horizontal="center" vertical="center" wrapText="1"/>
    </xf>
    <xf numFmtId="0" fontId="17" fillId="0" borderId="0" xfId="0" applyFont="1" applyBorder="1"/>
    <xf numFmtId="0" fontId="1" fillId="8" borderId="0" xfId="0" applyFont="1" applyFill="1" applyBorder="1" applyAlignment="1">
      <alignment horizontal="center" vertical="center" wrapText="1"/>
    </xf>
    <xf numFmtId="0" fontId="1" fillId="8" borderId="0" xfId="0" applyFont="1" applyFill="1" applyBorder="1"/>
    <xf numFmtId="0" fontId="18" fillId="0" borderId="0" xfId="0" applyFont="1" applyBorder="1" applyAlignment="1">
      <alignment horizontal="center" vertical="center" wrapText="1"/>
    </xf>
    <xf numFmtId="164" fontId="18" fillId="0" borderId="0" xfId="0" applyNumberFormat="1" applyFont="1" applyBorder="1" applyAlignment="1">
      <alignment horizontal="center" vertical="center" wrapText="1"/>
    </xf>
    <xf numFmtId="1" fontId="18" fillId="0" borderId="0" xfId="0" applyNumberFormat="1" applyFont="1" applyBorder="1" applyAlignment="1">
      <alignment horizontal="center" vertical="center" wrapText="1"/>
    </xf>
    <xf numFmtId="166" fontId="18" fillId="0" borderId="0" xfId="0" applyNumberFormat="1" applyFont="1" applyBorder="1" applyAlignment="1">
      <alignment horizontal="center" vertical="center" wrapText="1"/>
    </xf>
    <xf numFmtId="44" fontId="18" fillId="0" borderId="0" xfId="1"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xf numFmtId="164" fontId="19" fillId="0" borderId="0"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166" fontId="19" fillId="0" borderId="0" xfId="0" applyNumberFormat="1" applyFont="1" applyBorder="1" applyAlignment="1">
      <alignment horizontal="center" vertical="center" wrapText="1"/>
    </xf>
    <xf numFmtId="44" fontId="19" fillId="0" borderId="0" xfId="1"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Alignment="1">
      <alignment horizontal="left" vertical="center" wrapText="1"/>
    </xf>
    <xf numFmtId="0" fontId="0" fillId="4" borderId="0" xfId="0" applyFont="1" applyFill="1" applyAlignment="1">
      <alignment horizontal="left" vertical="center" wrapText="1"/>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0" fillId="6" borderId="9" xfId="0" applyFill="1" applyBorder="1" applyAlignment="1">
      <alignment vertical="center"/>
    </xf>
    <xf numFmtId="0" fontId="0" fillId="6" borderId="10"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6" borderId="11"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11" fillId="6" borderId="14" xfId="0" applyFont="1" applyFill="1" applyBorder="1"/>
    <xf numFmtId="0" fontId="11" fillId="6" borderId="15" xfId="0" applyFont="1" applyFill="1" applyBorder="1" applyAlignment="1">
      <alignment horizontal="center" vertical="center"/>
    </xf>
    <xf numFmtId="0" fontId="9" fillId="6" borderId="15" xfId="0" applyFont="1" applyFill="1" applyBorder="1" applyAlignment="1">
      <alignment horizontal="center" vertical="center"/>
    </xf>
    <xf numFmtId="0" fontId="9" fillId="5" borderId="15" xfId="0" applyFont="1" applyFill="1" applyBorder="1" applyAlignment="1">
      <alignment horizontal="center" vertical="center"/>
    </xf>
    <xf numFmtId="0" fontId="9" fillId="6" borderId="16" xfId="0" applyFont="1" applyFill="1" applyBorder="1" applyAlignment="1">
      <alignment horizontal="center" vertical="center"/>
    </xf>
    <xf numFmtId="0" fontId="5"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16" fontId="1" fillId="0" borderId="0" xfId="0"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1" fillId="0" borderId="0" xfId="0" applyFont="1" applyFill="1" applyBorder="1" applyAlignment="1">
      <alignment wrapText="1"/>
    </xf>
    <xf numFmtId="0" fontId="5" fillId="0" borderId="0" xfId="0" applyFont="1" applyFill="1" applyBorder="1" applyAlignment="1">
      <alignment wrapText="1"/>
    </xf>
    <xf numFmtId="165" fontId="5" fillId="0" borderId="0" xfId="0" applyNumberFormat="1" applyFont="1" applyFill="1" applyBorder="1" applyAlignment="1">
      <alignment wrapText="1"/>
    </xf>
    <xf numFmtId="0" fontId="0" fillId="5" borderId="0" xfId="0" applyFill="1" applyBorder="1" applyAlignment="1">
      <alignment vertical="center" wrapText="1"/>
    </xf>
    <xf numFmtId="0" fontId="0" fillId="6" borderId="13" xfId="0" applyFill="1" applyBorder="1" applyAlignment="1">
      <alignment vertical="center" wrapText="1"/>
    </xf>
    <xf numFmtId="0" fontId="0" fillId="9" borderId="12" xfId="0" applyFill="1" applyBorder="1" applyAlignment="1">
      <alignment vertical="center" wrapText="1"/>
    </xf>
    <xf numFmtId="17" fontId="0" fillId="6" borderId="11" xfId="0" applyNumberFormat="1" applyFill="1" applyBorder="1" applyAlignment="1">
      <alignment horizontal="left" vertical="center" wrapText="1"/>
    </xf>
    <xf numFmtId="44" fontId="9" fillId="5" borderId="1" xfId="1" applyFont="1" applyFill="1" applyBorder="1" applyAlignment="1">
      <alignment horizontal="center" vertical="center" wrapText="1"/>
    </xf>
    <xf numFmtId="0" fontId="0" fillId="6" borderId="10" xfId="0" applyFill="1" applyBorder="1" applyAlignment="1">
      <alignment vertical="center" wrapText="1"/>
    </xf>
    <xf numFmtId="0" fontId="0" fillId="6" borderId="0" xfId="0" applyFill="1" applyBorder="1" applyAlignment="1">
      <alignment vertical="center" wrapText="1"/>
    </xf>
    <xf numFmtId="17" fontId="0" fillId="6" borderId="9" xfId="0" applyNumberFormat="1" applyFill="1" applyBorder="1" applyAlignment="1">
      <alignment horizontal="left" vertical="center" wrapText="1"/>
    </xf>
    <xf numFmtId="0" fontId="9" fillId="5" borderId="0" xfId="0" applyFont="1" applyFill="1" applyBorder="1" applyAlignment="1">
      <alignment vertical="center" wrapText="1"/>
    </xf>
    <xf numFmtId="0" fontId="0" fillId="9" borderId="0" xfId="0" applyFill="1" applyBorder="1" applyAlignment="1">
      <alignment vertical="center" wrapText="1"/>
    </xf>
    <xf numFmtId="0" fontId="0" fillId="6" borderId="8" xfId="0" applyFill="1" applyBorder="1" applyAlignment="1">
      <alignment vertical="center" wrapText="1"/>
    </xf>
    <xf numFmtId="0" fontId="0" fillId="6" borderId="7" xfId="0" applyFill="1" applyBorder="1" applyAlignment="1">
      <alignment vertical="center" wrapText="1"/>
    </xf>
    <xf numFmtId="17" fontId="0" fillId="6" borderId="6" xfId="0" applyNumberFormat="1" applyFill="1" applyBorder="1" applyAlignment="1">
      <alignment horizontal="left" vertical="center" wrapText="1"/>
    </xf>
    <xf numFmtId="0" fontId="0" fillId="6" borderId="11" xfId="0" applyFill="1" applyBorder="1" applyAlignment="1">
      <alignment vertical="center" wrapText="1"/>
    </xf>
    <xf numFmtId="0" fontId="0" fillId="6" borderId="6" xfId="0" applyFill="1" applyBorder="1" applyAlignment="1">
      <alignment vertical="center" wrapText="1"/>
    </xf>
    <xf numFmtId="17" fontId="0" fillId="6" borderId="0" xfId="0" applyNumberFormat="1" applyFill="1" applyBorder="1" applyAlignment="1">
      <alignment horizontal="left" vertical="center" wrapText="1"/>
    </xf>
    <xf numFmtId="0" fontId="9" fillId="5" borderId="0" xfId="0" applyFont="1" applyFill="1" applyBorder="1" applyAlignment="1">
      <alignment horizontal="center" vertical="center" wrapText="1"/>
    </xf>
    <xf numFmtId="44" fontId="9" fillId="5" borderId="4" xfId="1" applyFont="1" applyFill="1" applyBorder="1" applyAlignment="1">
      <alignment horizontal="center" vertical="center" wrapText="1"/>
    </xf>
    <xf numFmtId="44" fontId="9" fillId="5" borderId="3" xfId="1" applyFont="1" applyFill="1" applyBorder="1" applyAlignment="1">
      <alignment horizontal="center" vertical="center" wrapText="1"/>
    </xf>
    <xf numFmtId="0" fontId="9" fillId="5" borderId="0" xfId="0" applyFont="1" applyFill="1" applyBorder="1" applyAlignment="1">
      <alignment textRotation="255" wrapText="1"/>
    </xf>
    <xf numFmtId="0" fontId="10" fillId="5"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9" fillId="5" borderId="0" xfId="0" applyFont="1" applyFill="1" applyBorder="1" applyAlignment="1">
      <alignment wrapText="1"/>
    </xf>
    <xf numFmtId="0" fontId="9" fillId="6" borderId="0" xfId="0" applyFont="1" applyFill="1" applyBorder="1" applyAlignment="1">
      <alignment wrapText="1"/>
    </xf>
    <xf numFmtId="0" fontId="0" fillId="6" borderId="12" xfId="0" applyFill="1" applyBorder="1" applyAlignment="1">
      <alignment vertical="center" wrapText="1"/>
    </xf>
    <xf numFmtId="17" fontId="0" fillId="6" borderId="9" xfId="0" applyNumberFormat="1" applyFill="1" applyBorder="1" applyAlignment="1">
      <alignment vertical="center" wrapText="1"/>
    </xf>
    <xf numFmtId="0" fontId="0" fillId="6" borderId="9" xfId="0" applyFill="1" applyBorder="1" applyAlignment="1">
      <alignment vertical="center" wrapText="1"/>
    </xf>
    <xf numFmtId="0" fontId="20" fillId="6" borderId="10" xfId="0" applyFont="1" applyFill="1" applyBorder="1" applyAlignment="1">
      <alignment vertical="center" wrapText="1"/>
    </xf>
    <xf numFmtId="44" fontId="9" fillId="5" borderId="0" xfId="1"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6" borderId="19" xfId="0" applyFill="1" applyBorder="1" applyAlignment="1">
      <alignment vertical="center" wrapText="1"/>
    </xf>
    <xf numFmtId="0" fontId="0" fillId="9" borderId="18" xfId="0" applyFill="1" applyBorder="1" applyAlignment="1">
      <alignment vertical="center" wrapText="1"/>
    </xf>
    <xf numFmtId="17" fontId="0" fillId="6" borderId="24" xfId="0" applyNumberFormat="1" applyFill="1" applyBorder="1" applyAlignment="1">
      <alignment horizontal="left" vertical="center" wrapText="1"/>
    </xf>
    <xf numFmtId="0" fontId="0" fillId="6" borderId="18" xfId="0" applyFill="1" applyBorder="1" applyAlignment="1">
      <alignment vertical="center" wrapText="1"/>
    </xf>
    <xf numFmtId="0" fontId="0" fillId="6" borderId="24" xfId="0" applyFill="1" applyBorder="1" applyAlignment="1">
      <alignment vertical="center" wrapText="1"/>
    </xf>
    <xf numFmtId="0" fontId="0" fillId="6" borderId="17" xfId="0" applyFill="1" applyBorder="1" applyAlignment="1">
      <alignment vertical="center" wrapText="1"/>
    </xf>
    <xf numFmtId="0" fontId="0" fillId="6" borderId="5" xfId="0" applyFill="1" applyBorder="1" applyAlignment="1">
      <alignment vertical="center" wrapText="1"/>
    </xf>
    <xf numFmtId="0" fontId="0" fillId="6" borderId="25" xfId="0" applyFill="1" applyBorder="1" applyAlignment="1">
      <alignment vertical="center" wrapText="1"/>
    </xf>
    <xf numFmtId="0" fontId="0" fillId="9" borderId="5" xfId="0" applyFill="1" applyBorder="1" applyAlignment="1">
      <alignment vertical="center" wrapText="1"/>
    </xf>
    <xf numFmtId="17" fontId="0" fillId="6" borderId="25" xfId="0" applyNumberFormat="1" applyFill="1" applyBorder="1" applyAlignment="1">
      <alignment horizontal="left" vertical="center" wrapText="1"/>
    </xf>
    <xf numFmtId="0" fontId="0" fillId="6" borderId="26" xfId="0" applyFill="1" applyBorder="1" applyAlignment="1">
      <alignment vertical="center" wrapText="1"/>
    </xf>
    <xf numFmtId="0" fontId="0" fillId="6" borderId="27" xfId="0" applyFill="1" applyBorder="1" applyAlignment="1">
      <alignment vertical="center" wrapText="1"/>
    </xf>
    <xf numFmtId="17" fontId="0" fillId="6" borderId="28" xfId="0" applyNumberFormat="1" applyFill="1" applyBorder="1" applyAlignment="1">
      <alignment horizontal="left" vertical="center" wrapText="1"/>
    </xf>
    <xf numFmtId="0" fontId="20" fillId="6" borderId="17" xfId="0" applyFont="1" applyFill="1" applyBorder="1" applyAlignment="1">
      <alignment vertical="center" wrapText="1"/>
    </xf>
    <xf numFmtId="0" fontId="0" fillId="9" borderId="7" xfId="0" applyFill="1" applyBorder="1" applyAlignment="1">
      <alignment vertical="center" wrapText="1"/>
    </xf>
    <xf numFmtId="0" fontId="9" fillId="5" borderId="0" xfId="0" applyFont="1" applyFill="1" applyAlignment="1">
      <alignment horizontal="center" vertical="center" wrapText="1"/>
    </xf>
    <xf numFmtId="0" fontId="9" fillId="5" borderId="0" xfId="0" applyFont="1" applyFill="1" applyAlignment="1">
      <alignment wrapText="1"/>
    </xf>
    <xf numFmtId="0" fontId="9" fillId="6" borderId="0" xfId="0" applyFont="1" applyFill="1" applyAlignment="1">
      <alignment wrapText="1"/>
    </xf>
    <xf numFmtId="164" fontId="1" fillId="0" borderId="0" xfId="0" applyNumberFormat="1" applyFont="1" applyFill="1" applyBorder="1" applyAlignment="1">
      <alignment horizontal="center" vertical="center" wrapText="1"/>
    </xf>
    <xf numFmtId="0" fontId="1" fillId="10" borderId="0" xfId="0" applyFont="1" applyFill="1" applyBorder="1" applyAlignment="1">
      <alignment horizontal="center" vertical="center" wrapText="1"/>
    </xf>
    <xf numFmtId="0" fontId="9" fillId="6" borderId="6" xfId="0" applyFont="1" applyFill="1" applyBorder="1" applyAlignment="1">
      <alignment horizontal="center"/>
    </xf>
    <xf numFmtId="0" fontId="9" fillId="6" borderId="7" xfId="0" applyFont="1" applyFill="1" applyBorder="1" applyAlignment="1">
      <alignment horizontal="center"/>
    </xf>
    <xf numFmtId="0" fontId="9" fillId="6" borderId="8" xfId="0" applyFont="1" applyFill="1" applyBorder="1" applyAlignment="1">
      <alignment horizontal="center"/>
    </xf>
    <xf numFmtId="0" fontId="12" fillId="7" borderId="3" xfId="0" applyFont="1" applyFill="1" applyBorder="1" applyAlignment="1">
      <alignment horizontal="center"/>
    </xf>
    <xf numFmtId="0" fontId="12" fillId="7" borderId="2" xfId="0" applyFont="1" applyFill="1" applyBorder="1" applyAlignment="1">
      <alignment horizontal="center"/>
    </xf>
    <xf numFmtId="0" fontId="12" fillId="7" borderId="10" xfId="0" applyFont="1" applyFill="1" applyBorder="1" applyAlignment="1">
      <alignment horizontal="center"/>
    </xf>
    <xf numFmtId="0" fontId="9" fillId="5" borderId="0" xfId="0" applyFont="1" applyFill="1" applyBorder="1" applyAlignment="1">
      <alignment horizontal="center" vertical="center" wrapText="1"/>
    </xf>
    <xf numFmtId="0" fontId="9" fillId="5" borderId="1" xfId="0" applyFont="1" applyFill="1" applyBorder="1" applyAlignment="1">
      <alignment horizontal="center" textRotation="255" wrapText="1"/>
    </xf>
    <xf numFmtId="0" fontId="9" fillId="5" borderId="1" xfId="0" applyFont="1" applyFill="1" applyBorder="1" applyAlignment="1">
      <alignment horizontal="center" vertical="center" textRotation="255" wrapText="1"/>
    </xf>
    <xf numFmtId="0" fontId="9" fillId="5" borderId="14" xfId="0" applyFont="1" applyFill="1" applyBorder="1" applyAlignment="1">
      <alignment horizontal="center" vertical="center" textRotation="255" wrapText="1"/>
    </xf>
    <xf numFmtId="0" fontId="9" fillId="5" borderId="15" xfId="0" applyFont="1" applyFill="1" applyBorder="1" applyAlignment="1">
      <alignment horizontal="center" vertical="center" textRotation="255" wrapText="1"/>
    </xf>
    <xf numFmtId="0" fontId="9" fillId="5" borderId="16" xfId="0" applyFont="1" applyFill="1" applyBorder="1" applyAlignment="1">
      <alignment horizontal="center" vertical="center" textRotation="255"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1" xfId="0" applyFont="1" applyBorder="1" applyAlignment="1">
      <alignment horizontal="center" vertical="center" wrapText="1"/>
    </xf>
    <xf numFmtId="0" fontId="21" fillId="5" borderId="20" xfId="0" applyFont="1" applyFill="1" applyBorder="1" applyAlignment="1">
      <alignment horizontal="center" vertical="center" wrapText="1"/>
    </xf>
    <xf numFmtId="0" fontId="9" fillId="5" borderId="0" xfId="0" applyFont="1" applyFill="1" applyBorder="1" applyAlignment="1">
      <alignment vertical="center" wrapText="1"/>
    </xf>
    <xf numFmtId="0" fontId="21" fillId="5" borderId="0" xfId="0" applyFont="1" applyFill="1" applyBorder="1" applyAlignment="1">
      <alignment horizontal="center" vertical="center" wrapText="1"/>
    </xf>
    <xf numFmtId="0" fontId="9" fillId="5" borderId="0" xfId="0" applyFont="1" applyFill="1" applyAlignment="1">
      <alignment horizontal="center" vertical="center" wrapText="1"/>
    </xf>
  </cellXfs>
  <cellStyles count="2">
    <cellStyle name="Currency" xfId="1" builtinId="4"/>
    <cellStyle name="Normal" xfId="0" builtinId="0"/>
  </cellStyles>
  <dxfs count="125">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6" formatCode="[$-40C]d\-mmm\-yy;@"/>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5" formatCode="0.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5" formatCode="0.0"/>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21" formatCode="dd\-mmm"/>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border diagonalUp="0" diagonalDown="0">
        <left/>
        <right/>
        <top/>
        <bottom/>
      </border>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border diagonalUp="0" diagonalDown="0">
        <left/>
        <right/>
        <top/>
        <bottom/>
      </border>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border diagonalUp="0" diagonalDown="0">
        <left/>
        <right/>
        <top/>
        <bottom/>
      </border>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border diagonalUp="0" diagonalDown="0" outline="0">
        <left/>
        <right/>
        <top/>
        <bottom/>
      </border>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8"/>
        <color theme="1"/>
        <name val="Arial"/>
        <scheme val="none"/>
      </font>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fill>
        <patternFill patternType="solid">
          <fgColor indexed="64"/>
          <bgColor theme="6" tint="0.79998168889431442"/>
        </patternFill>
      </fill>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font>
        <b val="0"/>
        <i val="0"/>
        <strike val="0"/>
        <condense val="0"/>
        <extend val="0"/>
        <outline val="0"/>
        <shadow val="0"/>
        <u val="none"/>
        <vertAlign val="baseline"/>
        <sz val="11"/>
        <color theme="1"/>
        <name val="Times New Roman"/>
        <scheme val="none"/>
      </font>
      <fill>
        <patternFill patternType="solid">
          <fgColor indexed="64"/>
          <bgColor theme="6" tint="0.79998168889431442"/>
        </patternFill>
      </fill>
      <alignment horizontal="left" vertical="center" textRotation="0" wrapText="0" indent="0" relativeIndent="0" justifyLastLine="0" shrinkToFit="0" mergeCell="0" readingOrder="0"/>
    </dxf>
    <dxf>
      <font>
        <b val="0"/>
        <i val="0"/>
        <strike val="0"/>
        <condense val="0"/>
        <extend val="0"/>
        <outline val="0"/>
        <shadow val="0"/>
        <u val="none"/>
        <vertAlign val="baseline"/>
        <sz val="11"/>
        <color theme="1"/>
        <name val="Times New Roman"/>
        <scheme val="none"/>
      </font>
    </dxf>
    <dxf>
      <alignment horizontal="left" vertical="center" textRotation="0" wrapText="0" indent="0" relativeIndent="0" justifyLastLine="0" shrinkToFit="0" mergeCell="0" readingOrder="0"/>
    </dxf>
    <dxf>
      <font>
        <b val="0"/>
        <i val="0"/>
        <strike val="0"/>
        <condense val="0"/>
        <extend val="0"/>
        <outline val="0"/>
        <shadow val="0"/>
        <u val="none"/>
        <vertAlign val="baseline"/>
        <sz val="14"/>
        <color theme="1"/>
        <name val="Arial"/>
        <scheme val="none"/>
      </font>
      <alignment horizontal="center" vertical="center" textRotation="0" wrapText="0"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stacked"/>
        <c:ser>
          <c:idx val="0"/>
          <c:order val="0"/>
          <c:tx>
            <c:strRef>
              <c:f>'4-Réalisation'!$I$1</c:f>
              <c:strCache>
                <c:ptCount val="1"/>
                <c:pt idx="0">
                  <c:v>Date semis</c:v>
                </c:pt>
              </c:strCache>
            </c:strRef>
          </c:tx>
          <c:spPr>
            <a:noFill/>
          </c:spPr>
          <c:dLbls>
            <c:txPr>
              <a:bodyPr/>
              <a:lstStyle/>
              <a:p>
                <a:pPr>
                  <a:defRPr lang="en-US" sz="200"/>
                </a:pPr>
                <a:endParaRPr lang="fr-FR"/>
              </a:p>
            </c:txPr>
            <c:dLblPos val="inEnd"/>
            <c:showVal val="1"/>
          </c:dLbls>
          <c:cat>
            <c:strRef>
              <c:f>'4-Réalisation'!$B$3:$B$151</c:f>
              <c:strCache>
                <c:ptCount val="149"/>
                <c:pt idx="0">
                  <c:v>Fèves</c:v>
                </c:pt>
                <c:pt idx="1">
                  <c:v>Ail</c:v>
                </c:pt>
                <c:pt idx="2">
                  <c:v>Mâche 1</c:v>
                </c:pt>
                <c:pt idx="3">
                  <c:v>Oignon</c:v>
                </c:pt>
                <c:pt idx="4">
                  <c:v>Cébette 1</c:v>
                </c:pt>
                <c:pt idx="5">
                  <c:v>Fenouil 1</c:v>
                </c:pt>
                <c:pt idx="6">
                  <c:v>Mâche 2</c:v>
                </c:pt>
                <c:pt idx="7">
                  <c:v>Epinard 1</c:v>
                </c:pt>
                <c:pt idx="8">
                  <c:v>Pt Pois</c:v>
                </c:pt>
                <c:pt idx="9">
                  <c:v>Mesclun 1</c:v>
                </c:pt>
                <c:pt idx="10">
                  <c:v>Salade 1</c:v>
                </c:pt>
                <c:pt idx="11">
                  <c:v>Salade 1-bis</c:v>
                </c:pt>
                <c:pt idx="12">
                  <c:v>Salade 1-ter</c:v>
                </c:pt>
                <c:pt idx="13">
                  <c:v>Persil 1</c:v>
                </c:pt>
                <c:pt idx="14">
                  <c:v>Chou Rave</c:v>
                </c:pt>
                <c:pt idx="15">
                  <c:v>Chou Chinois</c:v>
                </c:pt>
                <c:pt idx="16">
                  <c:v>Navet</c:v>
                </c:pt>
                <c:pt idx="17">
                  <c:v>Radis Red meat</c:v>
                </c:pt>
                <c:pt idx="18">
                  <c:v>Cébette 2</c:v>
                </c:pt>
                <c:pt idx="19">
                  <c:v>Epinard 2</c:v>
                </c:pt>
                <c:pt idx="20">
                  <c:v>Betterave 1</c:v>
                </c:pt>
                <c:pt idx="21">
                  <c:v>Mesclun 2</c:v>
                </c:pt>
                <c:pt idx="22">
                  <c:v>Blette 1</c:v>
                </c:pt>
                <c:pt idx="23">
                  <c:v>Salade 2</c:v>
                </c:pt>
                <c:pt idx="24">
                  <c:v>Salade 2 bis</c:v>
                </c:pt>
                <c:pt idx="25">
                  <c:v>Carotte 1</c:v>
                </c:pt>
                <c:pt idx="26">
                  <c:v>Radis 1</c:v>
                </c:pt>
                <c:pt idx="27">
                  <c:v>Tomate Cerise</c:v>
                </c:pt>
                <c:pt idx="28">
                  <c:v>Tomate Ronde</c:v>
                </c:pt>
                <c:pt idx="29">
                  <c:v>Tomates Anciennes</c:v>
                </c:pt>
                <c:pt idx="30">
                  <c:v>Salade 3</c:v>
                </c:pt>
                <c:pt idx="31">
                  <c:v>Salade 3 bis</c:v>
                </c:pt>
                <c:pt idx="32">
                  <c:v>Salade 3 Ter</c:v>
                </c:pt>
                <c:pt idx="33">
                  <c:v>Radis 2</c:v>
                </c:pt>
                <c:pt idx="34">
                  <c:v>Pak Choi</c:v>
                </c:pt>
                <c:pt idx="35">
                  <c:v>Mesclun 3</c:v>
                </c:pt>
                <c:pt idx="36">
                  <c:v>Salade 4</c:v>
                </c:pt>
                <c:pt idx="37">
                  <c:v>Salade 4 bis</c:v>
                </c:pt>
                <c:pt idx="38">
                  <c:v>Carotte 2</c:v>
                </c:pt>
                <c:pt idx="39">
                  <c:v>Panais</c:v>
                </c:pt>
                <c:pt idx="40">
                  <c:v>Radis 3</c:v>
                </c:pt>
                <c:pt idx="41">
                  <c:v>Poireau</c:v>
                </c:pt>
                <c:pt idx="42">
                  <c:v>Basilic</c:v>
                </c:pt>
                <c:pt idx="43">
                  <c:v>Radis 4</c:v>
                </c:pt>
                <c:pt idx="44">
                  <c:v>Courgette 1</c:v>
                </c:pt>
                <c:pt idx="45">
                  <c:v>Courgette 1 bis</c:v>
                </c:pt>
                <c:pt idx="46">
                  <c:v>Betterave 2</c:v>
                </c:pt>
                <c:pt idx="47">
                  <c:v>Navet 2</c:v>
                </c:pt>
                <c:pt idx="48">
                  <c:v>Tomate Roma</c:v>
                </c:pt>
                <c:pt idx="49">
                  <c:v>Tomate Ancienne 2</c:v>
                </c:pt>
                <c:pt idx="50">
                  <c:v>Tomate Ronde 2</c:v>
                </c:pt>
                <c:pt idx="51">
                  <c:v>Salade 5</c:v>
                </c:pt>
                <c:pt idx="52">
                  <c:v>Salade 5-bis</c:v>
                </c:pt>
                <c:pt idx="53">
                  <c:v>Mesclun 4</c:v>
                </c:pt>
                <c:pt idx="54">
                  <c:v>Persil 2</c:v>
                </c:pt>
                <c:pt idx="55">
                  <c:v>PdT 1</c:v>
                </c:pt>
                <c:pt idx="56">
                  <c:v>PdT1-bis</c:v>
                </c:pt>
                <c:pt idx="57">
                  <c:v>Courgette 2</c:v>
                </c:pt>
                <c:pt idx="58">
                  <c:v>Courgette 2-Bis</c:v>
                </c:pt>
                <c:pt idx="59">
                  <c:v>Concombre 1</c:v>
                </c:pt>
                <c:pt idx="60">
                  <c:v>Salade 6</c:v>
                </c:pt>
                <c:pt idx="61">
                  <c:v>Salade 6-bis</c:v>
                </c:pt>
                <c:pt idx="62">
                  <c:v>Carotte 3</c:v>
                </c:pt>
                <c:pt idx="63">
                  <c:v>Betterave 3</c:v>
                </c:pt>
                <c:pt idx="64">
                  <c:v>HV 1</c:v>
                </c:pt>
                <c:pt idx="65">
                  <c:v>Salade 7</c:v>
                </c:pt>
                <c:pt idx="66">
                  <c:v>Carotte 4</c:v>
                </c:pt>
                <c:pt idx="67">
                  <c:v>Potimmaron</c:v>
                </c:pt>
                <c:pt idx="68">
                  <c:v>Courgette 3</c:v>
                </c:pt>
                <c:pt idx="69">
                  <c:v>Courgette 3 bis</c:v>
                </c:pt>
                <c:pt idx="70">
                  <c:v>Melon</c:v>
                </c:pt>
                <c:pt idx="71">
                  <c:v>HV 2</c:v>
                </c:pt>
                <c:pt idx="72">
                  <c:v>Carotte 5</c:v>
                </c:pt>
                <c:pt idx="73">
                  <c:v>Concombre 2</c:v>
                </c:pt>
                <c:pt idx="74">
                  <c:v>Mesclun 5</c:v>
                </c:pt>
                <c:pt idx="75">
                  <c:v>Salade 8</c:v>
                </c:pt>
                <c:pt idx="76">
                  <c:v>HV3</c:v>
                </c:pt>
                <c:pt idx="77">
                  <c:v>Carotte 6</c:v>
                </c:pt>
                <c:pt idx="78">
                  <c:v>PdT 2</c:v>
                </c:pt>
                <c:pt idx="79">
                  <c:v>HV 4</c:v>
                </c:pt>
                <c:pt idx="80">
                  <c:v>Maïs Doux</c:v>
                </c:pt>
                <c:pt idx="81">
                  <c:v>Carotte 7</c:v>
                </c:pt>
                <c:pt idx="82">
                  <c:v>Betterave 4</c:v>
                </c:pt>
                <c:pt idx="83">
                  <c:v>Navet 3</c:v>
                </c:pt>
                <c:pt idx="84">
                  <c:v>Mesclun 6</c:v>
                </c:pt>
                <c:pt idx="85">
                  <c:v>Salade 9</c:v>
                </c:pt>
                <c:pt idx="86">
                  <c:v>Courgette 4</c:v>
                </c:pt>
                <c:pt idx="87">
                  <c:v>Courgette 4 bis</c:v>
                </c:pt>
                <c:pt idx="88">
                  <c:v>HV5</c:v>
                </c:pt>
                <c:pt idx="89">
                  <c:v>HV6</c:v>
                </c:pt>
                <c:pt idx="90">
                  <c:v>Maïs Doux 2</c:v>
                </c:pt>
                <c:pt idx="91">
                  <c:v>Mesclun 7</c:v>
                </c:pt>
                <c:pt idx="92">
                  <c:v>Salade 10</c:v>
                </c:pt>
                <c:pt idx="93">
                  <c:v>Salade 10-Bis</c:v>
                </c:pt>
                <c:pt idx="94">
                  <c:v>HV7</c:v>
                </c:pt>
                <c:pt idx="95">
                  <c:v>Maïs Doux 3</c:v>
                </c:pt>
                <c:pt idx="96">
                  <c:v>Carotte 8</c:v>
                </c:pt>
                <c:pt idx="97">
                  <c:v>Mesclun 8/9</c:v>
                </c:pt>
                <c:pt idx="98">
                  <c:v>Courgette 5</c:v>
                </c:pt>
                <c:pt idx="99">
                  <c:v>Courgette 5 bis</c:v>
                </c:pt>
                <c:pt idx="100">
                  <c:v>Chou Fleur</c:v>
                </c:pt>
                <c:pt idx="101">
                  <c:v>Chou Rave</c:v>
                </c:pt>
                <c:pt idx="102">
                  <c:v>Chou de Milan</c:v>
                </c:pt>
                <c:pt idx="103">
                  <c:v>Chou Chinois 2</c:v>
                </c:pt>
                <c:pt idx="104">
                  <c:v>Fenouil 2</c:v>
                </c:pt>
                <c:pt idx="105">
                  <c:v>HV8</c:v>
                </c:pt>
                <c:pt idx="106">
                  <c:v>Pain de sucre</c:v>
                </c:pt>
                <c:pt idx="107">
                  <c:v>Chicorée</c:v>
                </c:pt>
                <c:pt idx="108">
                  <c:v>Salade 11</c:v>
                </c:pt>
                <c:pt idx="109">
                  <c:v>Mesclun 10</c:v>
                </c:pt>
                <c:pt idx="110">
                  <c:v>HV 9</c:v>
                </c:pt>
                <c:pt idx="111">
                  <c:v>Mesclun 11</c:v>
                </c:pt>
                <c:pt idx="112">
                  <c:v>Persil 3/4</c:v>
                </c:pt>
                <c:pt idx="113">
                  <c:v>Chou Chinois 3</c:v>
                </c:pt>
                <c:pt idx="114">
                  <c:v>mesclun 12</c:v>
                </c:pt>
                <c:pt idx="115">
                  <c:v>pain de sucre 2</c:v>
                </c:pt>
                <c:pt idx="116">
                  <c:v>Pak choi 2</c:v>
                </c:pt>
                <c:pt idx="117">
                  <c:v>Blette 2</c:v>
                </c:pt>
                <c:pt idx="118">
                  <c:v>Mesclun 13</c:v>
                </c:pt>
                <c:pt idx="119">
                  <c:v>Salade 12</c:v>
                </c:pt>
                <c:pt idx="120">
                  <c:v>Salade 12-bis</c:v>
                </c:pt>
                <c:pt idx="121">
                  <c:v>Salade 12-Ter</c:v>
                </c:pt>
                <c:pt idx="122">
                  <c:v>Mesclun 14</c:v>
                </c:pt>
                <c:pt idx="123">
                  <c:v>Salade 13</c:v>
                </c:pt>
                <c:pt idx="124">
                  <c:v>Mesclun 15</c:v>
                </c:pt>
                <c:pt idx="125">
                  <c:v>Mâche 3</c:v>
                </c:pt>
                <c:pt idx="126">
                  <c:v>Epinard 3</c:v>
                </c:pt>
                <c:pt idx="127">
                  <c:v>Navet 3</c:v>
                </c:pt>
                <c:pt idx="128">
                  <c:v>Radis Noir 1</c:v>
                </c:pt>
                <c:pt idx="129">
                  <c:v>Radis Red meat 1</c:v>
                </c:pt>
                <c:pt idx="130">
                  <c:v>Betterave 5</c:v>
                </c:pt>
                <c:pt idx="131">
                  <c:v>Radis Noir 2</c:v>
                </c:pt>
                <c:pt idx="132">
                  <c:v>Mâche 4</c:v>
                </c:pt>
                <c:pt idx="133">
                  <c:v>Epinard 4</c:v>
                </c:pt>
                <c:pt idx="134">
                  <c:v>Navet 4</c:v>
                </c:pt>
                <c:pt idx="135">
                  <c:v>Red Meat 2</c:v>
                </c:pt>
                <c:pt idx="136">
                  <c:v>Navet 5</c:v>
                </c:pt>
                <c:pt idx="137">
                  <c:v>Radis Red meat 3</c:v>
                </c:pt>
                <c:pt idx="138">
                  <c:v>Epinard 5/6</c:v>
                </c:pt>
                <c:pt idx="139">
                  <c:v>Mesclun 16</c:v>
                </c:pt>
                <c:pt idx="140">
                  <c:v>Mesclun 17</c:v>
                </c:pt>
                <c:pt idx="141">
                  <c:v>Mâche 5</c:v>
                </c:pt>
                <c:pt idx="142">
                  <c:v>Mesclun 18</c:v>
                </c:pt>
                <c:pt idx="143">
                  <c:v>Mesclun 19</c:v>
                </c:pt>
                <c:pt idx="144">
                  <c:v>Mesclun 20</c:v>
                </c:pt>
                <c:pt idx="145">
                  <c:v>Radis 5</c:v>
                </c:pt>
                <c:pt idx="146">
                  <c:v>Radis 5-bis</c:v>
                </c:pt>
                <c:pt idx="147">
                  <c:v>Radis 6</c:v>
                </c:pt>
                <c:pt idx="148">
                  <c:v>TOTAL</c:v>
                </c:pt>
              </c:strCache>
            </c:strRef>
          </c:cat>
          <c:val>
            <c:numRef>
              <c:f>'4-Réalisation'!$I$3:$I$151</c:f>
              <c:numCache>
                <c:formatCode>[$-40C]d\-mmm;@</c:formatCode>
                <c:ptCount val="149"/>
                <c:pt idx="0">
                  <c:v>42683</c:v>
                </c:pt>
                <c:pt idx="1">
                  <c:v>42698</c:v>
                </c:pt>
                <c:pt idx="2">
                  <c:v>42741</c:v>
                </c:pt>
                <c:pt idx="3">
                  <c:v>42744</c:v>
                </c:pt>
                <c:pt idx="4">
                  <c:v>42744</c:v>
                </c:pt>
                <c:pt idx="5">
                  <c:v>42747</c:v>
                </c:pt>
                <c:pt idx="6">
                  <c:v>42758</c:v>
                </c:pt>
                <c:pt idx="7">
                  <c:v>42758</c:v>
                </c:pt>
                <c:pt idx="8">
                  <c:v>42760</c:v>
                </c:pt>
                <c:pt idx="9">
                  <c:v>42761</c:v>
                </c:pt>
                <c:pt idx="10">
                  <c:v>42761</c:v>
                </c:pt>
                <c:pt idx="11">
                  <c:v>42761</c:v>
                </c:pt>
                <c:pt idx="12">
                  <c:v>42761</c:v>
                </c:pt>
                <c:pt idx="13">
                  <c:v>42766</c:v>
                </c:pt>
                <c:pt idx="14">
                  <c:v>42766</c:v>
                </c:pt>
                <c:pt idx="15">
                  <c:v>42766</c:v>
                </c:pt>
                <c:pt idx="16">
                  <c:v>42766</c:v>
                </c:pt>
                <c:pt idx="17">
                  <c:v>42766</c:v>
                </c:pt>
                <c:pt idx="18">
                  <c:v>42766</c:v>
                </c:pt>
                <c:pt idx="19">
                  <c:v>42775</c:v>
                </c:pt>
                <c:pt idx="20">
                  <c:v>42775</c:v>
                </c:pt>
                <c:pt idx="21">
                  <c:v>42776</c:v>
                </c:pt>
                <c:pt idx="22">
                  <c:v>42776</c:v>
                </c:pt>
                <c:pt idx="23">
                  <c:v>42776</c:v>
                </c:pt>
                <c:pt idx="24">
                  <c:v>42776</c:v>
                </c:pt>
                <c:pt idx="25">
                  <c:v>42782</c:v>
                </c:pt>
                <c:pt idx="26">
                  <c:v>42782</c:v>
                </c:pt>
                <c:pt idx="27">
                  <c:v>42787</c:v>
                </c:pt>
                <c:pt idx="28">
                  <c:v>42787</c:v>
                </c:pt>
                <c:pt idx="29">
                  <c:v>42787</c:v>
                </c:pt>
                <c:pt idx="30">
                  <c:v>42787</c:v>
                </c:pt>
                <c:pt idx="31">
                  <c:v>42787</c:v>
                </c:pt>
                <c:pt idx="32">
                  <c:v>42787</c:v>
                </c:pt>
                <c:pt idx="33">
                  <c:v>42790</c:v>
                </c:pt>
                <c:pt idx="34">
                  <c:v>42794</c:v>
                </c:pt>
                <c:pt idx="35">
                  <c:v>42807</c:v>
                </c:pt>
                <c:pt idx="36">
                  <c:v>42807</c:v>
                </c:pt>
                <c:pt idx="37">
                  <c:v>42807</c:v>
                </c:pt>
                <c:pt idx="38">
                  <c:v>42807</c:v>
                </c:pt>
                <c:pt idx="39">
                  <c:v>42809</c:v>
                </c:pt>
                <c:pt idx="40">
                  <c:v>42809</c:v>
                </c:pt>
                <c:pt idx="41">
                  <c:v>42811</c:v>
                </c:pt>
                <c:pt idx="42">
                  <c:v>42811</c:v>
                </c:pt>
                <c:pt idx="43">
                  <c:v>42816</c:v>
                </c:pt>
                <c:pt idx="44">
                  <c:v>42817</c:v>
                </c:pt>
                <c:pt idx="45">
                  <c:v>42817</c:v>
                </c:pt>
                <c:pt idx="46">
                  <c:v>42817</c:v>
                </c:pt>
                <c:pt idx="47">
                  <c:v>42817</c:v>
                </c:pt>
                <c:pt idx="48">
                  <c:v>42831</c:v>
                </c:pt>
                <c:pt idx="49">
                  <c:v>42831</c:v>
                </c:pt>
                <c:pt idx="50">
                  <c:v>42831</c:v>
                </c:pt>
                <c:pt idx="51">
                  <c:v>42831</c:v>
                </c:pt>
                <c:pt idx="52">
                  <c:v>42831</c:v>
                </c:pt>
                <c:pt idx="53">
                  <c:v>42838</c:v>
                </c:pt>
                <c:pt idx="54">
                  <c:v>42838</c:v>
                </c:pt>
                <c:pt idx="55">
                  <c:v>42844</c:v>
                </c:pt>
                <c:pt idx="56">
                  <c:v>42844</c:v>
                </c:pt>
                <c:pt idx="57">
                  <c:v>42844</c:v>
                </c:pt>
                <c:pt idx="58">
                  <c:v>42844</c:v>
                </c:pt>
                <c:pt idx="59">
                  <c:v>42844</c:v>
                </c:pt>
                <c:pt idx="60">
                  <c:v>42844</c:v>
                </c:pt>
                <c:pt idx="61">
                  <c:v>42844</c:v>
                </c:pt>
                <c:pt idx="62">
                  <c:v>42846</c:v>
                </c:pt>
                <c:pt idx="63">
                  <c:v>42851</c:v>
                </c:pt>
                <c:pt idx="64">
                  <c:v>42859</c:v>
                </c:pt>
                <c:pt idx="65">
                  <c:v>42863</c:v>
                </c:pt>
                <c:pt idx="66">
                  <c:v>42864</c:v>
                </c:pt>
                <c:pt idx="67">
                  <c:v>42872</c:v>
                </c:pt>
                <c:pt idx="68">
                  <c:v>42872</c:v>
                </c:pt>
                <c:pt idx="69">
                  <c:v>42872</c:v>
                </c:pt>
                <c:pt idx="70">
                  <c:v>42872</c:v>
                </c:pt>
                <c:pt idx="71">
                  <c:v>42873</c:v>
                </c:pt>
                <c:pt idx="72">
                  <c:v>42873</c:v>
                </c:pt>
                <c:pt idx="73">
                  <c:v>42879</c:v>
                </c:pt>
                <c:pt idx="74">
                  <c:v>42879</c:v>
                </c:pt>
                <c:pt idx="75">
                  <c:v>42879</c:v>
                </c:pt>
                <c:pt idx="76">
                  <c:v>42879</c:v>
                </c:pt>
                <c:pt idx="77">
                  <c:v>42880</c:v>
                </c:pt>
                <c:pt idx="78">
                  <c:v>42880</c:v>
                </c:pt>
                <c:pt idx="79">
                  <c:v>42891</c:v>
                </c:pt>
                <c:pt idx="80">
                  <c:v>42891</c:v>
                </c:pt>
                <c:pt idx="81">
                  <c:v>42892</c:v>
                </c:pt>
                <c:pt idx="82">
                  <c:v>42892</c:v>
                </c:pt>
                <c:pt idx="83">
                  <c:v>42892</c:v>
                </c:pt>
                <c:pt idx="84">
                  <c:v>42893</c:v>
                </c:pt>
                <c:pt idx="85">
                  <c:v>42893</c:v>
                </c:pt>
                <c:pt idx="86">
                  <c:v>42893</c:v>
                </c:pt>
                <c:pt idx="87">
                  <c:v>42893</c:v>
                </c:pt>
                <c:pt idx="88">
                  <c:v>42900</c:v>
                </c:pt>
                <c:pt idx="89">
                  <c:v>42905</c:v>
                </c:pt>
                <c:pt idx="90">
                  <c:v>42905</c:v>
                </c:pt>
                <c:pt idx="91">
                  <c:v>42907</c:v>
                </c:pt>
                <c:pt idx="92">
                  <c:v>42907</c:v>
                </c:pt>
                <c:pt idx="93">
                  <c:v>42907</c:v>
                </c:pt>
                <c:pt idx="94">
                  <c:v>42911</c:v>
                </c:pt>
                <c:pt idx="95" formatCode="dd\-mmm">
                  <c:v>42911</c:v>
                </c:pt>
                <c:pt idx="96">
                  <c:v>42912</c:v>
                </c:pt>
                <c:pt idx="97">
                  <c:v>42912</c:v>
                </c:pt>
                <c:pt idx="98">
                  <c:v>42912</c:v>
                </c:pt>
                <c:pt idx="99">
                  <c:v>42912</c:v>
                </c:pt>
                <c:pt idx="100">
                  <c:v>42914</c:v>
                </c:pt>
                <c:pt idx="101">
                  <c:v>42914</c:v>
                </c:pt>
                <c:pt idx="102">
                  <c:v>42914</c:v>
                </c:pt>
                <c:pt idx="103">
                  <c:v>42914</c:v>
                </c:pt>
                <c:pt idx="104">
                  <c:v>42914</c:v>
                </c:pt>
                <c:pt idx="105">
                  <c:v>42919</c:v>
                </c:pt>
                <c:pt idx="106">
                  <c:v>42921</c:v>
                </c:pt>
                <c:pt idx="107">
                  <c:v>42921</c:v>
                </c:pt>
                <c:pt idx="108">
                  <c:v>42921</c:v>
                </c:pt>
                <c:pt idx="109">
                  <c:v>42921</c:v>
                </c:pt>
                <c:pt idx="110">
                  <c:v>42926</c:v>
                </c:pt>
                <c:pt idx="111">
                  <c:v>42928</c:v>
                </c:pt>
                <c:pt idx="112">
                  <c:v>42935</c:v>
                </c:pt>
                <c:pt idx="113">
                  <c:v>42935</c:v>
                </c:pt>
                <c:pt idx="114">
                  <c:v>42935</c:v>
                </c:pt>
                <c:pt idx="115">
                  <c:v>42935</c:v>
                </c:pt>
                <c:pt idx="116">
                  <c:v>42935</c:v>
                </c:pt>
                <c:pt idx="117">
                  <c:v>42935</c:v>
                </c:pt>
                <c:pt idx="118">
                  <c:v>42947</c:v>
                </c:pt>
                <c:pt idx="119">
                  <c:v>42942</c:v>
                </c:pt>
                <c:pt idx="120">
                  <c:v>42942</c:v>
                </c:pt>
                <c:pt idx="121">
                  <c:v>42942</c:v>
                </c:pt>
                <c:pt idx="122">
                  <c:v>42950</c:v>
                </c:pt>
                <c:pt idx="123">
                  <c:v>42952</c:v>
                </c:pt>
                <c:pt idx="124">
                  <c:v>42955</c:v>
                </c:pt>
                <c:pt idx="125">
                  <c:v>42955</c:v>
                </c:pt>
                <c:pt idx="126">
                  <c:v>42955</c:v>
                </c:pt>
                <c:pt idx="127">
                  <c:v>42956</c:v>
                </c:pt>
                <c:pt idx="128">
                  <c:v>42956</c:v>
                </c:pt>
                <c:pt idx="129">
                  <c:v>42956</c:v>
                </c:pt>
                <c:pt idx="130">
                  <c:v>42957</c:v>
                </c:pt>
                <c:pt idx="131">
                  <c:v>42957</c:v>
                </c:pt>
                <c:pt idx="132">
                  <c:v>42960</c:v>
                </c:pt>
                <c:pt idx="133">
                  <c:v>42960</c:v>
                </c:pt>
                <c:pt idx="134">
                  <c:v>42961</c:v>
                </c:pt>
                <c:pt idx="135">
                  <c:v>42961</c:v>
                </c:pt>
                <c:pt idx="136">
                  <c:v>42963</c:v>
                </c:pt>
                <c:pt idx="137">
                  <c:v>42963</c:v>
                </c:pt>
                <c:pt idx="138">
                  <c:v>42963</c:v>
                </c:pt>
                <c:pt idx="139">
                  <c:v>42963</c:v>
                </c:pt>
                <c:pt idx="140">
                  <c:v>42966</c:v>
                </c:pt>
                <c:pt idx="141">
                  <c:v>42966</c:v>
                </c:pt>
                <c:pt idx="142">
                  <c:v>42973</c:v>
                </c:pt>
                <c:pt idx="143">
                  <c:v>42978</c:v>
                </c:pt>
                <c:pt idx="144">
                  <c:v>42988</c:v>
                </c:pt>
                <c:pt idx="145">
                  <c:v>42992</c:v>
                </c:pt>
                <c:pt idx="146">
                  <c:v>42992</c:v>
                </c:pt>
                <c:pt idx="147">
                  <c:v>43006</c:v>
                </c:pt>
              </c:numCache>
            </c:numRef>
          </c:val>
        </c:ser>
        <c:ser>
          <c:idx val="3"/>
          <c:order val="1"/>
          <c:tx>
            <c:strRef>
              <c:f>'5-Réalis.'!#REF!</c:f>
              <c:strCache>
                <c:ptCount val="1"/>
                <c:pt idx="0">
                  <c:v>#REF!</c:v>
                </c:pt>
              </c:strCache>
            </c:strRef>
          </c:tx>
          <c:cat>
            <c:strRef>
              <c:f>'4-Réalisation'!$B$3:$B$151</c:f>
              <c:strCache>
                <c:ptCount val="149"/>
                <c:pt idx="0">
                  <c:v>Fèves</c:v>
                </c:pt>
                <c:pt idx="1">
                  <c:v>Ail</c:v>
                </c:pt>
                <c:pt idx="2">
                  <c:v>Mâche 1</c:v>
                </c:pt>
                <c:pt idx="3">
                  <c:v>Oignon</c:v>
                </c:pt>
                <c:pt idx="4">
                  <c:v>Cébette 1</c:v>
                </c:pt>
                <c:pt idx="5">
                  <c:v>Fenouil 1</c:v>
                </c:pt>
                <c:pt idx="6">
                  <c:v>Mâche 2</c:v>
                </c:pt>
                <c:pt idx="7">
                  <c:v>Epinard 1</c:v>
                </c:pt>
                <c:pt idx="8">
                  <c:v>Pt Pois</c:v>
                </c:pt>
                <c:pt idx="9">
                  <c:v>Mesclun 1</c:v>
                </c:pt>
                <c:pt idx="10">
                  <c:v>Salade 1</c:v>
                </c:pt>
                <c:pt idx="11">
                  <c:v>Salade 1-bis</c:v>
                </c:pt>
                <c:pt idx="12">
                  <c:v>Salade 1-ter</c:v>
                </c:pt>
                <c:pt idx="13">
                  <c:v>Persil 1</c:v>
                </c:pt>
                <c:pt idx="14">
                  <c:v>Chou Rave</c:v>
                </c:pt>
                <c:pt idx="15">
                  <c:v>Chou Chinois</c:v>
                </c:pt>
                <c:pt idx="16">
                  <c:v>Navet</c:v>
                </c:pt>
                <c:pt idx="17">
                  <c:v>Radis Red meat</c:v>
                </c:pt>
                <c:pt idx="18">
                  <c:v>Cébette 2</c:v>
                </c:pt>
                <c:pt idx="19">
                  <c:v>Epinard 2</c:v>
                </c:pt>
                <c:pt idx="20">
                  <c:v>Betterave 1</c:v>
                </c:pt>
                <c:pt idx="21">
                  <c:v>Mesclun 2</c:v>
                </c:pt>
                <c:pt idx="22">
                  <c:v>Blette 1</c:v>
                </c:pt>
                <c:pt idx="23">
                  <c:v>Salade 2</c:v>
                </c:pt>
                <c:pt idx="24">
                  <c:v>Salade 2 bis</c:v>
                </c:pt>
                <c:pt idx="25">
                  <c:v>Carotte 1</c:v>
                </c:pt>
                <c:pt idx="26">
                  <c:v>Radis 1</c:v>
                </c:pt>
                <c:pt idx="27">
                  <c:v>Tomate Cerise</c:v>
                </c:pt>
                <c:pt idx="28">
                  <c:v>Tomate Ronde</c:v>
                </c:pt>
                <c:pt idx="29">
                  <c:v>Tomates Anciennes</c:v>
                </c:pt>
                <c:pt idx="30">
                  <c:v>Salade 3</c:v>
                </c:pt>
                <c:pt idx="31">
                  <c:v>Salade 3 bis</c:v>
                </c:pt>
                <c:pt idx="32">
                  <c:v>Salade 3 Ter</c:v>
                </c:pt>
                <c:pt idx="33">
                  <c:v>Radis 2</c:v>
                </c:pt>
                <c:pt idx="34">
                  <c:v>Pak Choi</c:v>
                </c:pt>
                <c:pt idx="35">
                  <c:v>Mesclun 3</c:v>
                </c:pt>
                <c:pt idx="36">
                  <c:v>Salade 4</c:v>
                </c:pt>
                <c:pt idx="37">
                  <c:v>Salade 4 bis</c:v>
                </c:pt>
                <c:pt idx="38">
                  <c:v>Carotte 2</c:v>
                </c:pt>
                <c:pt idx="39">
                  <c:v>Panais</c:v>
                </c:pt>
                <c:pt idx="40">
                  <c:v>Radis 3</c:v>
                </c:pt>
                <c:pt idx="41">
                  <c:v>Poireau</c:v>
                </c:pt>
                <c:pt idx="42">
                  <c:v>Basilic</c:v>
                </c:pt>
                <c:pt idx="43">
                  <c:v>Radis 4</c:v>
                </c:pt>
                <c:pt idx="44">
                  <c:v>Courgette 1</c:v>
                </c:pt>
                <c:pt idx="45">
                  <c:v>Courgette 1 bis</c:v>
                </c:pt>
                <c:pt idx="46">
                  <c:v>Betterave 2</c:v>
                </c:pt>
                <c:pt idx="47">
                  <c:v>Navet 2</c:v>
                </c:pt>
                <c:pt idx="48">
                  <c:v>Tomate Roma</c:v>
                </c:pt>
                <c:pt idx="49">
                  <c:v>Tomate Ancienne 2</c:v>
                </c:pt>
                <c:pt idx="50">
                  <c:v>Tomate Ronde 2</c:v>
                </c:pt>
                <c:pt idx="51">
                  <c:v>Salade 5</c:v>
                </c:pt>
                <c:pt idx="52">
                  <c:v>Salade 5-bis</c:v>
                </c:pt>
                <c:pt idx="53">
                  <c:v>Mesclun 4</c:v>
                </c:pt>
                <c:pt idx="54">
                  <c:v>Persil 2</c:v>
                </c:pt>
                <c:pt idx="55">
                  <c:v>PdT 1</c:v>
                </c:pt>
                <c:pt idx="56">
                  <c:v>PdT1-bis</c:v>
                </c:pt>
                <c:pt idx="57">
                  <c:v>Courgette 2</c:v>
                </c:pt>
                <c:pt idx="58">
                  <c:v>Courgette 2-Bis</c:v>
                </c:pt>
                <c:pt idx="59">
                  <c:v>Concombre 1</c:v>
                </c:pt>
                <c:pt idx="60">
                  <c:v>Salade 6</c:v>
                </c:pt>
                <c:pt idx="61">
                  <c:v>Salade 6-bis</c:v>
                </c:pt>
                <c:pt idx="62">
                  <c:v>Carotte 3</c:v>
                </c:pt>
                <c:pt idx="63">
                  <c:v>Betterave 3</c:v>
                </c:pt>
                <c:pt idx="64">
                  <c:v>HV 1</c:v>
                </c:pt>
                <c:pt idx="65">
                  <c:v>Salade 7</c:v>
                </c:pt>
                <c:pt idx="66">
                  <c:v>Carotte 4</c:v>
                </c:pt>
                <c:pt idx="67">
                  <c:v>Potimmaron</c:v>
                </c:pt>
                <c:pt idx="68">
                  <c:v>Courgette 3</c:v>
                </c:pt>
                <c:pt idx="69">
                  <c:v>Courgette 3 bis</c:v>
                </c:pt>
                <c:pt idx="70">
                  <c:v>Melon</c:v>
                </c:pt>
                <c:pt idx="71">
                  <c:v>HV 2</c:v>
                </c:pt>
                <c:pt idx="72">
                  <c:v>Carotte 5</c:v>
                </c:pt>
                <c:pt idx="73">
                  <c:v>Concombre 2</c:v>
                </c:pt>
                <c:pt idx="74">
                  <c:v>Mesclun 5</c:v>
                </c:pt>
                <c:pt idx="75">
                  <c:v>Salade 8</c:v>
                </c:pt>
                <c:pt idx="76">
                  <c:v>HV3</c:v>
                </c:pt>
                <c:pt idx="77">
                  <c:v>Carotte 6</c:v>
                </c:pt>
                <c:pt idx="78">
                  <c:v>PdT 2</c:v>
                </c:pt>
                <c:pt idx="79">
                  <c:v>HV 4</c:v>
                </c:pt>
                <c:pt idx="80">
                  <c:v>Maïs Doux</c:v>
                </c:pt>
                <c:pt idx="81">
                  <c:v>Carotte 7</c:v>
                </c:pt>
                <c:pt idx="82">
                  <c:v>Betterave 4</c:v>
                </c:pt>
                <c:pt idx="83">
                  <c:v>Navet 3</c:v>
                </c:pt>
                <c:pt idx="84">
                  <c:v>Mesclun 6</c:v>
                </c:pt>
                <c:pt idx="85">
                  <c:v>Salade 9</c:v>
                </c:pt>
                <c:pt idx="86">
                  <c:v>Courgette 4</c:v>
                </c:pt>
                <c:pt idx="87">
                  <c:v>Courgette 4 bis</c:v>
                </c:pt>
                <c:pt idx="88">
                  <c:v>HV5</c:v>
                </c:pt>
                <c:pt idx="89">
                  <c:v>HV6</c:v>
                </c:pt>
                <c:pt idx="90">
                  <c:v>Maïs Doux 2</c:v>
                </c:pt>
                <c:pt idx="91">
                  <c:v>Mesclun 7</c:v>
                </c:pt>
                <c:pt idx="92">
                  <c:v>Salade 10</c:v>
                </c:pt>
                <c:pt idx="93">
                  <c:v>Salade 10-Bis</c:v>
                </c:pt>
                <c:pt idx="94">
                  <c:v>HV7</c:v>
                </c:pt>
                <c:pt idx="95">
                  <c:v>Maïs Doux 3</c:v>
                </c:pt>
                <c:pt idx="96">
                  <c:v>Carotte 8</c:v>
                </c:pt>
                <c:pt idx="97">
                  <c:v>Mesclun 8/9</c:v>
                </c:pt>
                <c:pt idx="98">
                  <c:v>Courgette 5</c:v>
                </c:pt>
                <c:pt idx="99">
                  <c:v>Courgette 5 bis</c:v>
                </c:pt>
                <c:pt idx="100">
                  <c:v>Chou Fleur</c:v>
                </c:pt>
                <c:pt idx="101">
                  <c:v>Chou Rave</c:v>
                </c:pt>
                <c:pt idx="102">
                  <c:v>Chou de Milan</c:v>
                </c:pt>
                <c:pt idx="103">
                  <c:v>Chou Chinois 2</c:v>
                </c:pt>
                <c:pt idx="104">
                  <c:v>Fenouil 2</c:v>
                </c:pt>
                <c:pt idx="105">
                  <c:v>HV8</c:v>
                </c:pt>
                <c:pt idx="106">
                  <c:v>Pain de sucre</c:v>
                </c:pt>
                <c:pt idx="107">
                  <c:v>Chicorée</c:v>
                </c:pt>
                <c:pt idx="108">
                  <c:v>Salade 11</c:v>
                </c:pt>
                <c:pt idx="109">
                  <c:v>Mesclun 10</c:v>
                </c:pt>
                <c:pt idx="110">
                  <c:v>HV 9</c:v>
                </c:pt>
                <c:pt idx="111">
                  <c:v>Mesclun 11</c:v>
                </c:pt>
                <c:pt idx="112">
                  <c:v>Persil 3/4</c:v>
                </c:pt>
                <c:pt idx="113">
                  <c:v>Chou Chinois 3</c:v>
                </c:pt>
                <c:pt idx="114">
                  <c:v>mesclun 12</c:v>
                </c:pt>
                <c:pt idx="115">
                  <c:v>pain de sucre 2</c:v>
                </c:pt>
                <c:pt idx="116">
                  <c:v>Pak choi 2</c:v>
                </c:pt>
                <c:pt idx="117">
                  <c:v>Blette 2</c:v>
                </c:pt>
                <c:pt idx="118">
                  <c:v>Mesclun 13</c:v>
                </c:pt>
                <c:pt idx="119">
                  <c:v>Salade 12</c:v>
                </c:pt>
                <c:pt idx="120">
                  <c:v>Salade 12-bis</c:v>
                </c:pt>
                <c:pt idx="121">
                  <c:v>Salade 12-Ter</c:v>
                </c:pt>
                <c:pt idx="122">
                  <c:v>Mesclun 14</c:v>
                </c:pt>
                <c:pt idx="123">
                  <c:v>Salade 13</c:v>
                </c:pt>
                <c:pt idx="124">
                  <c:v>Mesclun 15</c:v>
                </c:pt>
                <c:pt idx="125">
                  <c:v>Mâche 3</c:v>
                </c:pt>
                <c:pt idx="126">
                  <c:v>Epinard 3</c:v>
                </c:pt>
                <c:pt idx="127">
                  <c:v>Navet 3</c:v>
                </c:pt>
                <c:pt idx="128">
                  <c:v>Radis Noir 1</c:v>
                </c:pt>
                <c:pt idx="129">
                  <c:v>Radis Red meat 1</c:v>
                </c:pt>
                <c:pt idx="130">
                  <c:v>Betterave 5</c:v>
                </c:pt>
                <c:pt idx="131">
                  <c:v>Radis Noir 2</c:v>
                </c:pt>
                <c:pt idx="132">
                  <c:v>Mâche 4</c:v>
                </c:pt>
                <c:pt idx="133">
                  <c:v>Epinard 4</c:v>
                </c:pt>
                <c:pt idx="134">
                  <c:v>Navet 4</c:v>
                </c:pt>
                <c:pt idx="135">
                  <c:v>Red Meat 2</c:v>
                </c:pt>
                <c:pt idx="136">
                  <c:v>Navet 5</c:v>
                </c:pt>
                <c:pt idx="137">
                  <c:v>Radis Red meat 3</c:v>
                </c:pt>
                <c:pt idx="138">
                  <c:v>Epinard 5/6</c:v>
                </c:pt>
                <c:pt idx="139">
                  <c:v>Mesclun 16</c:v>
                </c:pt>
                <c:pt idx="140">
                  <c:v>Mesclun 17</c:v>
                </c:pt>
                <c:pt idx="141">
                  <c:v>Mâche 5</c:v>
                </c:pt>
                <c:pt idx="142">
                  <c:v>Mesclun 18</c:v>
                </c:pt>
                <c:pt idx="143">
                  <c:v>Mesclun 19</c:v>
                </c:pt>
                <c:pt idx="144">
                  <c:v>Mesclun 20</c:v>
                </c:pt>
                <c:pt idx="145">
                  <c:v>Radis 5</c:v>
                </c:pt>
                <c:pt idx="146">
                  <c:v>Radis 5-bis</c:v>
                </c:pt>
                <c:pt idx="147">
                  <c:v>Radis 6</c:v>
                </c:pt>
                <c:pt idx="148">
                  <c:v>TOTAL</c:v>
                </c:pt>
              </c:strCache>
            </c:strRef>
          </c:cat>
          <c:val>
            <c:numRef>
              <c:f>'5-Réalis.'!#REF!</c:f>
              <c:numCache>
                <c:formatCode>General</c:formatCode>
                <c:ptCount val="1"/>
                <c:pt idx="0">
                  <c:v>1</c:v>
                </c:pt>
              </c:numCache>
            </c:numRef>
          </c:val>
        </c:ser>
        <c:ser>
          <c:idx val="1"/>
          <c:order val="2"/>
          <c:tx>
            <c:strRef>
              <c:f>'4-Réalisation'!$J$1</c:f>
              <c:strCache>
                <c:ptCount val="1"/>
                <c:pt idx="0">
                  <c:v>Tps motte</c:v>
                </c:pt>
              </c:strCache>
            </c:strRef>
          </c:tx>
          <c:dLbls>
            <c:txPr>
              <a:bodyPr/>
              <a:lstStyle/>
              <a:p>
                <a:pPr>
                  <a:defRPr lang="fr-FR" sz="200"/>
                </a:pPr>
                <a:endParaRPr lang="fr-FR"/>
              </a:p>
            </c:txPr>
            <c:showVal val="1"/>
          </c:dLbls>
          <c:cat>
            <c:strRef>
              <c:f>'4-Réalisation'!$B$3:$B$151</c:f>
              <c:strCache>
                <c:ptCount val="149"/>
                <c:pt idx="0">
                  <c:v>Fèves</c:v>
                </c:pt>
                <c:pt idx="1">
                  <c:v>Ail</c:v>
                </c:pt>
                <c:pt idx="2">
                  <c:v>Mâche 1</c:v>
                </c:pt>
                <c:pt idx="3">
                  <c:v>Oignon</c:v>
                </c:pt>
                <c:pt idx="4">
                  <c:v>Cébette 1</c:v>
                </c:pt>
                <c:pt idx="5">
                  <c:v>Fenouil 1</c:v>
                </c:pt>
                <c:pt idx="6">
                  <c:v>Mâche 2</c:v>
                </c:pt>
                <c:pt idx="7">
                  <c:v>Epinard 1</c:v>
                </c:pt>
                <c:pt idx="8">
                  <c:v>Pt Pois</c:v>
                </c:pt>
                <c:pt idx="9">
                  <c:v>Mesclun 1</c:v>
                </c:pt>
                <c:pt idx="10">
                  <c:v>Salade 1</c:v>
                </c:pt>
                <c:pt idx="11">
                  <c:v>Salade 1-bis</c:v>
                </c:pt>
                <c:pt idx="12">
                  <c:v>Salade 1-ter</c:v>
                </c:pt>
                <c:pt idx="13">
                  <c:v>Persil 1</c:v>
                </c:pt>
                <c:pt idx="14">
                  <c:v>Chou Rave</c:v>
                </c:pt>
                <c:pt idx="15">
                  <c:v>Chou Chinois</c:v>
                </c:pt>
                <c:pt idx="16">
                  <c:v>Navet</c:v>
                </c:pt>
                <c:pt idx="17">
                  <c:v>Radis Red meat</c:v>
                </c:pt>
                <c:pt idx="18">
                  <c:v>Cébette 2</c:v>
                </c:pt>
                <c:pt idx="19">
                  <c:v>Epinard 2</c:v>
                </c:pt>
                <c:pt idx="20">
                  <c:v>Betterave 1</c:v>
                </c:pt>
                <c:pt idx="21">
                  <c:v>Mesclun 2</c:v>
                </c:pt>
                <c:pt idx="22">
                  <c:v>Blette 1</c:v>
                </c:pt>
                <c:pt idx="23">
                  <c:v>Salade 2</c:v>
                </c:pt>
                <c:pt idx="24">
                  <c:v>Salade 2 bis</c:v>
                </c:pt>
                <c:pt idx="25">
                  <c:v>Carotte 1</c:v>
                </c:pt>
                <c:pt idx="26">
                  <c:v>Radis 1</c:v>
                </c:pt>
                <c:pt idx="27">
                  <c:v>Tomate Cerise</c:v>
                </c:pt>
                <c:pt idx="28">
                  <c:v>Tomate Ronde</c:v>
                </c:pt>
                <c:pt idx="29">
                  <c:v>Tomates Anciennes</c:v>
                </c:pt>
                <c:pt idx="30">
                  <c:v>Salade 3</c:v>
                </c:pt>
                <c:pt idx="31">
                  <c:v>Salade 3 bis</c:v>
                </c:pt>
                <c:pt idx="32">
                  <c:v>Salade 3 Ter</c:v>
                </c:pt>
                <c:pt idx="33">
                  <c:v>Radis 2</c:v>
                </c:pt>
                <c:pt idx="34">
                  <c:v>Pak Choi</c:v>
                </c:pt>
                <c:pt idx="35">
                  <c:v>Mesclun 3</c:v>
                </c:pt>
                <c:pt idx="36">
                  <c:v>Salade 4</c:v>
                </c:pt>
                <c:pt idx="37">
                  <c:v>Salade 4 bis</c:v>
                </c:pt>
                <c:pt idx="38">
                  <c:v>Carotte 2</c:v>
                </c:pt>
                <c:pt idx="39">
                  <c:v>Panais</c:v>
                </c:pt>
                <c:pt idx="40">
                  <c:v>Radis 3</c:v>
                </c:pt>
                <c:pt idx="41">
                  <c:v>Poireau</c:v>
                </c:pt>
                <c:pt idx="42">
                  <c:v>Basilic</c:v>
                </c:pt>
                <c:pt idx="43">
                  <c:v>Radis 4</c:v>
                </c:pt>
                <c:pt idx="44">
                  <c:v>Courgette 1</c:v>
                </c:pt>
                <c:pt idx="45">
                  <c:v>Courgette 1 bis</c:v>
                </c:pt>
                <c:pt idx="46">
                  <c:v>Betterave 2</c:v>
                </c:pt>
                <c:pt idx="47">
                  <c:v>Navet 2</c:v>
                </c:pt>
                <c:pt idx="48">
                  <c:v>Tomate Roma</c:v>
                </c:pt>
                <c:pt idx="49">
                  <c:v>Tomate Ancienne 2</c:v>
                </c:pt>
                <c:pt idx="50">
                  <c:v>Tomate Ronde 2</c:v>
                </c:pt>
                <c:pt idx="51">
                  <c:v>Salade 5</c:v>
                </c:pt>
                <c:pt idx="52">
                  <c:v>Salade 5-bis</c:v>
                </c:pt>
                <c:pt idx="53">
                  <c:v>Mesclun 4</c:v>
                </c:pt>
                <c:pt idx="54">
                  <c:v>Persil 2</c:v>
                </c:pt>
                <c:pt idx="55">
                  <c:v>PdT 1</c:v>
                </c:pt>
                <c:pt idx="56">
                  <c:v>PdT1-bis</c:v>
                </c:pt>
                <c:pt idx="57">
                  <c:v>Courgette 2</c:v>
                </c:pt>
                <c:pt idx="58">
                  <c:v>Courgette 2-Bis</c:v>
                </c:pt>
                <c:pt idx="59">
                  <c:v>Concombre 1</c:v>
                </c:pt>
                <c:pt idx="60">
                  <c:v>Salade 6</c:v>
                </c:pt>
                <c:pt idx="61">
                  <c:v>Salade 6-bis</c:v>
                </c:pt>
                <c:pt idx="62">
                  <c:v>Carotte 3</c:v>
                </c:pt>
                <c:pt idx="63">
                  <c:v>Betterave 3</c:v>
                </c:pt>
                <c:pt idx="64">
                  <c:v>HV 1</c:v>
                </c:pt>
                <c:pt idx="65">
                  <c:v>Salade 7</c:v>
                </c:pt>
                <c:pt idx="66">
                  <c:v>Carotte 4</c:v>
                </c:pt>
                <c:pt idx="67">
                  <c:v>Potimmaron</c:v>
                </c:pt>
                <c:pt idx="68">
                  <c:v>Courgette 3</c:v>
                </c:pt>
                <c:pt idx="69">
                  <c:v>Courgette 3 bis</c:v>
                </c:pt>
                <c:pt idx="70">
                  <c:v>Melon</c:v>
                </c:pt>
                <c:pt idx="71">
                  <c:v>HV 2</c:v>
                </c:pt>
                <c:pt idx="72">
                  <c:v>Carotte 5</c:v>
                </c:pt>
                <c:pt idx="73">
                  <c:v>Concombre 2</c:v>
                </c:pt>
                <c:pt idx="74">
                  <c:v>Mesclun 5</c:v>
                </c:pt>
                <c:pt idx="75">
                  <c:v>Salade 8</c:v>
                </c:pt>
                <c:pt idx="76">
                  <c:v>HV3</c:v>
                </c:pt>
                <c:pt idx="77">
                  <c:v>Carotte 6</c:v>
                </c:pt>
                <c:pt idx="78">
                  <c:v>PdT 2</c:v>
                </c:pt>
                <c:pt idx="79">
                  <c:v>HV 4</c:v>
                </c:pt>
                <c:pt idx="80">
                  <c:v>Maïs Doux</c:v>
                </c:pt>
                <c:pt idx="81">
                  <c:v>Carotte 7</c:v>
                </c:pt>
                <c:pt idx="82">
                  <c:v>Betterave 4</c:v>
                </c:pt>
                <c:pt idx="83">
                  <c:v>Navet 3</c:v>
                </c:pt>
                <c:pt idx="84">
                  <c:v>Mesclun 6</c:v>
                </c:pt>
                <c:pt idx="85">
                  <c:v>Salade 9</c:v>
                </c:pt>
                <c:pt idx="86">
                  <c:v>Courgette 4</c:v>
                </c:pt>
                <c:pt idx="87">
                  <c:v>Courgette 4 bis</c:v>
                </c:pt>
                <c:pt idx="88">
                  <c:v>HV5</c:v>
                </c:pt>
                <c:pt idx="89">
                  <c:v>HV6</c:v>
                </c:pt>
                <c:pt idx="90">
                  <c:v>Maïs Doux 2</c:v>
                </c:pt>
                <c:pt idx="91">
                  <c:v>Mesclun 7</c:v>
                </c:pt>
                <c:pt idx="92">
                  <c:v>Salade 10</c:v>
                </c:pt>
                <c:pt idx="93">
                  <c:v>Salade 10-Bis</c:v>
                </c:pt>
                <c:pt idx="94">
                  <c:v>HV7</c:v>
                </c:pt>
                <c:pt idx="95">
                  <c:v>Maïs Doux 3</c:v>
                </c:pt>
                <c:pt idx="96">
                  <c:v>Carotte 8</c:v>
                </c:pt>
                <c:pt idx="97">
                  <c:v>Mesclun 8/9</c:v>
                </c:pt>
                <c:pt idx="98">
                  <c:v>Courgette 5</c:v>
                </c:pt>
                <c:pt idx="99">
                  <c:v>Courgette 5 bis</c:v>
                </c:pt>
                <c:pt idx="100">
                  <c:v>Chou Fleur</c:v>
                </c:pt>
                <c:pt idx="101">
                  <c:v>Chou Rave</c:v>
                </c:pt>
                <c:pt idx="102">
                  <c:v>Chou de Milan</c:v>
                </c:pt>
                <c:pt idx="103">
                  <c:v>Chou Chinois 2</c:v>
                </c:pt>
                <c:pt idx="104">
                  <c:v>Fenouil 2</c:v>
                </c:pt>
                <c:pt idx="105">
                  <c:v>HV8</c:v>
                </c:pt>
                <c:pt idx="106">
                  <c:v>Pain de sucre</c:v>
                </c:pt>
                <c:pt idx="107">
                  <c:v>Chicorée</c:v>
                </c:pt>
                <c:pt idx="108">
                  <c:v>Salade 11</c:v>
                </c:pt>
                <c:pt idx="109">
                  <c:v>Mesclun 10</c:v>
                </c:pt>
                <c:pt idx="110">
                  <c:v>HV 9</c:v>
                </c:pt>
                <c:pt idx="111">
                  <c:v>Mesclun 11</c:v>
                </c:pt>
                <c:pt idx="112">
                  <c:v>Persil 3/4</c:v>
                </c:pt>
                <c:pt idx="113">
                  <c:v>Chou Chinois 3</c:v>
                </c:pt>
                <c:pt idx="114">
                  <c:v>mesclun 12</c:v>
                </c:pt>
                <c:pt idx="115">
                  <c:v>pain de sucre 2</c:v>
                </c:pt>
                <c:pt idx="116">
                  <c:v>Pak choi 2</c:v>
                </c:pt>
                <c:pt idx="117">
                  <c:v>Blette 2</c:v>
                </c:pt>
                <c:pt idx="118">
                  <c:v>Mesclun 13</c:v>
                </c:pt>
                <c:pt idx="119">
                  <c:v>Salade 12</c:v>
                </c:pt>
                <c:pt idx="120">
                  <c:v>Salade 12-bis</c:v>
                </c:pt>
                <c:pt idx="121">
                  <c:v>Salade 12-Ter</c:v>
                </c:pt>
                <c:pt idx="122">
                  <c:v>Mesclun 14</c:v>
                </c:pt>
                <c:pt idx="123">
                  <c:v>Salade 13</c:v>
                </c:pt>
                <c:pt idx="124">
                  <c:v>Mesclun 15</c:v>
                </c:pt>
                <c:pt idx="125">
                  <c:v>Mâche 3</c:v>
                </c:pt>
                <c:pt idx="126">
                  <c:v>Epinard 3</c:v>
                </c:pt>
                <c:pt idx="127">
                  <c:v>Navet 3</c:v>
                </c:pt>
                <c:pt idx="128">
                  <c:v>Radis Noir 1</c:v>
                </c:pt>
                <c:pt idx="129">
                  <c:v>Radis Red meat 1</c:v>
                </c:pt>
                <c:pt idx="130">
                  <c:v>Betterave 5</c:v>
                </c:pt>
                <c:pt idx="131">
                  <c:v>Radis Noir 2</c:v>
                </c:pt>
                <c:pt idx="132">
                  <c:v>Mâche 4</c:v>
                </c:pt>
                <c:pt idx="133">
                  <c:v>Epinard 4</c:v>
                </c:pt>
                <c:pt idx="134">
                  <c:v>Navet 4</c:v>
                </c:pt>
                <c:pt idx="135">
                  <c:v>Red Meat 2</c:v>
                </c:pt>
                <c:pt idx="136">
                  <c:v>Navet 5</c:v>
                </c:pt>
                <c:pt idx="137">
                  <c:v>Radis Red meat 3</c:v>
                </c:pt>
                <c:pt idx="138">
                  <c:v>Epinard 5/6</c:v>
                </c:pt>
                <c:pt idx="139">
                  <c:v>Mesclun 16</c:v>
                </c:pt>
                <c:pt idx="140">
                  <c:v>Mesclun 17</c:v>
                </c:pt>
                <c:pt idx="141">
                  <c:v>Mâche 5</c:v>
                </c:pt>
                <c:pt idx="142">
                  <c:v>Mesclun 18</c:v>
                </c:pt>
                <c:pt idx="143">
                  <c:v>Mesclun 19</c:v>
                </c:pt>
                <c:pt idx="144">
                  <c:v>Mesclun 20</c:v>
                </c:pt>
                <c:pt idx="145">
                  <c:v>Radis 5</c:v>
                </c:pt>
                <c:pt idx="146">
                  <c:v>Radis 5-bis</c:v>
                </c:pt>
                <c:pt idx="147">
                  <c:v>Radis 6</c:v>
                </c:pt>
                <c:pt idx="148">
                  <c:v>TOTAL</c:v>
                </c:pt>
              </c:strCache>
            </c:strRef>
          </c:cat>
          <c:val>
            <c:numRef>
              <c:f>'4-Réalisation'!$J$3:$J$151</c:f>
              <c:numCache>
                <c:formatCode>0</c:formatCode>
                <c:ptCount val="149"/>
                <c:pt idx="0">
                  <c:v>0</c:v>
                </c:pt>
                <c:pt idx="1">
                  <c:v>0</c:v>
                </c:pt>
                <c:pt idx="2">
                  <c:v>45</c:v>
                </c:pt>
                <c:pt idx="3">
                  <c:v>39</c:v>
                </c:pt>
                <c:pt idx="4">
                  <c:v>44</c:v>
                </c:pt>
                <c:pt idx="5">
                  <c:v>44</c:v>
                </c:pt>
                <c:pt idx="6">
                  <c:v>38</c:v>
                </c:pt>
                <c:pt idx="7">
                  <c:v>23</c:v>
                </c:pt>
                <c:pt idx="8">
                  <c:v>0</c:v>
                </c:pt>
                <c:pt idx="9">
                  <c:v>22</c:v>
                </c:pt>
                <c:pt idx="10">
                  <c:v>27</c:v>
                </c:pt>
                <c:pt idx="11">
                  <c:v>30</c:v>
                </c:pt>
                <c:pt idx="12">
                  <c:v>27</c:v>
                </c:pt>
                <c:pt idx="13">
                  <c:v>27</c:v>
                </c:pt>
                <c:pt idx="14">
                  <c:v>27</c:v>
                </c:pt>
                <c:pt idx="15">
                  <c:v>26</c:v>
                </c:pt>
                <c:pt idx="16">
                  <c:v>23</c:v>
                </c:pt>
                <c:pt idx="17">
                  <c:v>23</c:v>
                </c:pt>
                <c:pt idx="18">
                  <c:v>36</c:v>
                </c:pt>
                <c:pt idx="19">
                  <c:v>21</c:v>
                </c:pt>
                <c:pt idx="20">
                  <c:v>28</c:v>
                </c:pt>
                <c:pt idx="21">
                  <c:v>21</c:v>
                </c:pt>
                <c:pt idx="22">
                  <c:v>28</c:v>
                </c:pt>
                <c:pt idx="23">
                  <c:v>26</c:v>
                </c:pt>
                <c:pt idx="24">
                  <c:v>26</c:v>
                </c:pt>
                <c:pt idx="25">
                  <c:v>0</c:v>
                </c:pt>
                <c:pt idx="26">
                  <c:v>0</c:v>
                </c:pt>
                <c:pt idx="27">
                  <c:v>71</c:v>
                </c:pt>
                <c:pt idx="28">
                  <c:v>71</c:v>
                </c:pt>
                <c:pt idx="29">
                  <c:v>71</c:v>
                </c:pt>
                <c:pt idx="30">
                  <c:v>71</c:v>
                </c:pt>
                <c:pt idx="31">
                  <c:v>29</c:v>
                </c:pt>
                <c:pt idx="32">
                  <c:v>29</c:v>
                </c:pt>
                <c:pt idx="33">
                  <c:v>0</c:v>
                </c:pt>
                <c:pt idx="34">
                  <c:v>22</c:v>
                </c:pt>
                <c:pt idx="35">
                  <c:v>17</c:v>
                </c:pt>
                <c:pt idx="36">
                  <c:v>17</c:v>
                </c:pt>
                <c:pt idx="37">
                  <c:v>25</c:v>
                </c:pt>
                <c:pt idx="38">
                  <c:v>0</c:v>
                </c:pt>
                <c:pt idx="39">
                  <c:v>0</c:v>
                </c:pt>
                <c:pt idx="40">
                  <c:v>0</c:v>
                </c:pt>
                <c:pt idx="41">
                  <c:v>108</c:v>
                </c:pt>
                <c:pt idx="42">
                  <c:v>0</c:v>
                </c:pt>
                <c:pt idx="43">
                  <c:v>0</c:v>
                </c:pt>
                <c:pt idx="44">
                  <c:v>14</c:v>
                </c:pt>
                <c:pt idx="45">
                  <c:v>14</c:v>
                </c:pt>
                <c:pt idx="46">
                  <c:v>20</c:v>
                </c:pt>
                <c:pt idx="47">
                  <c:v>20</c:v>
                </c:pt>
                <c:pt idx="48">
                  <c:v>55</c:v>
                </c:pt>
                <c:pt idx="49">
                  <c:v>55</c:v>
                </c:pt>
                <c:pt idx="50">
                  <c:v>55</c:v>
                </c:pt>
                <c:pt idx="51">
                  <c:v>21</c:v>
                </c:pt>
                <c:pt idx="52">
                  <c:v>21</c:v>
                </c:pt>
                <c:pt idx="53">
                  <c:v>18</c:v>
                </c:pt>
                <c:pt idx="54">
                  <c:v>35</c:v>
                </c:pt>
                <c:pt idx="55">
                  <c:v>0</c:v>
                </c:pt>
                <c:pt idx="56">
                  <c:v>0</c:v>
                </c:pt>
                <c:pt idx="57">
                  <c:v>15</c:v>
                </c:pt>
                <c:pt idx="58">
                  <c:v>15</c:v>
                </c:pt>
                <c:pt idx="59">
                  <c:v>-42844</c:v>
                </c:pt>
                <c:pt idx="60">
                  <c:v>30</c:v>
                </c:pt>
                <c:pt idx="61">
                  <c:v>30</c:v>
                </c:pt>
                <c:pt idx="62">
                  <c:v>-42846</c:v>
                </c:pt>
                <c:pt idx="63">
                  <c:v>22</c:v>
                </c:pt>
                <c:pt idx="64">
                  <c:v>-42859</c:v>
                </c:pt>
                <c:pt idx="65">
                  <c:v>18</c:v>
                </c:pt>
                <c:pt idx="66">
                  <c:v>0</c:v>
                </c:pt>
                <c:pt idx="67">
                  <c:v>14</c:v>
                </c:pt>
                <c:pt idx="68">
                  <c:v>13</c:v>
                </c:pt>
                <c:pt idx="69">
                  <c:v>13</c:v>
                </c:pt>
                <c:pt idx="70">
                  <c:v>16</c:v>
                </c:pt>
                <c:pt idx="71">
                  <c:v>0</c:v>
                </c:pt>
                <c:pt idx="72">
                  <c:v>0</c:v>
                </c:pt>
                <c:pt idx="73">
                  <c:v>-42879</c:v>
                </c:pt>
                <c:pt idx="74">
                  <c:v>15</c:v>
                </c:pt>
                <c:pt idx="75">
                  <c:v>21</c:v>
                </c:pt>
                <c:pt idx="76">
                  <c:v>0</c:v>
                </c:pt>
                <c:pt idx="77">
                  <c:v>0</c:v>
                </c:pt>
                <c:pt idx="78">
                  <c:v>0</c:v>
                </c:pt>
                <c:pt idx="79">
                  <c:v>0</c:v>
                </c:pt>
                <c:pt idx="80">
                  <c:v>0</c:v>
                </c:pt>
                <c:pt idx="81">
                  <c:v>0</c:v>
                </c:pt>
                <c:pt idx="82">
                  <c:v>0</c:v>
                </c:pt>
                <c:pt idx="83">
                  <c:v>0</c:v>
                </c:pt>
                <c:pt idx="84">
                  <c:v>19</c:v>
                </c:pt>
                <c:pt idx="85">
                  <c:v>20</c:v>
                </c:pt>
                <c:pt idx="86">
                  <c:v>8</c:v>
                </c:pt>
                <c:pt idx="87">
                  <c:v>8</c:v>
                </c:pt>
                <c:pt idx="88">
                  <c:v>0</c:v>
                </c:pt>
                <c:pt idx="89">
                  <c:v>0</c:v>
                </c:pt>
                <c:pt idx="90">
                  <c:v>0</c:v>
                </c:pt>
                <c:pt idx="91">
                  <c:v>12</c:v>
                </c:pt>
                <c:pt idx="92">
                  <c:v>15</c:v>
                </c:pt>
                <c:pt idx="93">
                  <c:v>11</c:v>
                </c:pt>
                <c:pt idx="94">
                  <c:v>0</c:v>
                </c:pt>
                <c:pt idx="95">
                  <c:v>0</c:v>
                </c:pt>
                <c:pt idx="96">
                  <c:v>0</c:v>
                </c:pt>
                <c:pt idx="97">
                  <c:v>14</c:v>
                </c:pt>
                <c:pt idx="98">
                  <c:v>10</c:v>
                </c:pt>
                <c:pt idx="99">
                  <c:v>10</c:v>
                </c:pt>
                <c:pt idx="100">
                  <c:v>26</c:v>
                </c:pt>
                <c:pt idx="101">
                  <c:v>21</c:v>
                </c:pt>
                <c:pt idx="102">
                  <c:v>26</c:v>
                </c:pt>
                <c:pt idx="103">
                  <c:v>19</c:v>
                </c:pt>
                <c:pt idx="104">
                  <c:v>29</c:v>
                </c:pt>
                <c:pt idx="105">
                  <c:v>0</c:v>
                </c:pt>
                <c:pt idx="106">
                  <c:v>22</c:v>
                </c:pt>
                <c:pt idx="107">
                  <c:v>22</c:v>
                </c:pt>
                <c:pt idx="108">
                  <c:v>14</c:v>
                </c:pt>
                <c:pt idx="109">
                  <c:v>14</c:v>
                </c:pt>
                <c:pt idx="110">
                  <c:v>0</c:v>
                </c:pt>
                <c:pt idx="111">
                  <c:v>14</c:v>
                </c:pt>
                <c:pt idx="112">
                  <c:v>29</c:v>
                </c:pt>
                <c:pt idx="113">
                  <c:v>22</c:v>
                </c:pt>
                <c:pt idx="114">
                  <c:v>18</c:v>
                </c:pt>
                <c:pt idx="115">
                  <c:v>26</c:v>
                </c:pt>
                <c:pt idx="116">
                  <c:v>22</c:v>
                </c:pt>
                <c:pt idx="117">
                  <c:v>26</c:v>
                </c:pt>
                <c:pt idx="118">
                  <c:v>16</c:v>
                </c:pt>
                <c:pt idx="119">
                  <c:v>19</c:v>
                </c:pt>
                <c:pt idx="120">
                  <c:v>19</c:v>
                </c:pt>
                <c:pt idx="121">
                  <c:v>19</c:v>
                </c:pt>
                <c:pt idx="122">
                  <c:v>17</c:v>
                </c:pt>
                <c:pt idx="123">
                  <c:v>-42952</c:v>
                </c:pt>
                <c:pt idx="124">
                  <c:v>15</c:v>
                </c:pt>
                <c:pt idx="125">
                  <c:v>22</c:v>
                </c:pt>
                <c:pt idx="126">
                  <c:v>22</c:v>
                </c:pt>
                <c:pt idx="127">
                  <c:v>19</c:v>
                </c:pt>
                <c:pt idx="128">
                  <c:v>19</c:v>
                </c:pt>
                <c:pt idx="129">
                  <c:v>19</c:v>
                </c:pt>
                <c:pt idx="130">
                  <c:v>0</c:v>
                </c:pt>
                <c:pt idx="131">
                  <c:v>0</c:v>
                </c:pt>
                <c:pt idx="132">
                  <c:v>0</c:v>
                </c:pt>
                <c:pt idx="133">
                  <c:v>25</c:v>
                </c:pt>
                <c:pt idx="134">
                  <c:v>0</c:v>
                </c:pt>
                <c:pt idx="135">
                  <c:v>0</c:v>
                </c:pt>
                <c:pt idx="136">
                  <c:v>19</c:v>
                </c:pt>
                <c:pt idx="137">
                  <c:v>19</c:v>
                </c:pt>
                <c:pt idx="138">
                  <c:v>26</c:v>
                </c:pt>
                <c:pt idx="139">
                  <c:v>18</c:v>
                </c:pt>
                <c:pt idx="140">
                  <c:v>18</c:v>
                </c:pt>
                <c:pt idx="141">
                  <c:v>33</c:v>
                </c:pt>
                <c:pt idx="142">
                  <c:v>16</c:v>
                </c:pt>
                <c:pt idx="143">
                  <c:v>18</c:v>
                </c:pt>
                <c:pt idx="144">
                  <c:v>22</c:v>
                </c:pt>
                <c:pt idx="145">
                  <c:v>0</c:v>
                </c:pt>
                <c:pt idx="146">
                  <c:v>0</c:v>
                </c:pt>
                <c:pt idx="147">
                  <c:v>0</c:v>
                </c:pt>
              </c:numCache>
            </c:numRef>
          </c:val>
        </c:ser>
        <c:ser>
          <c:idx val="2"/>
          <c:order val="3"/>
          <c:tx>
            <c:strRef>
              <c:f>'4-Réalisation'!$L$1</c:f>
              <c:strCache>
                <c:ptCount val="1"/>
                <c:pt idx="0">
                  <c:v>Tps croissance</c:v>
                </c:pt>
              </c:strCache>
            </c:strRef>
          </c:tx>
          <c:dLbls>
            <c:txPr>
              <a:bodyPr/>
              <a:lstStyle/>
              <a:p>
                <a:pPr>
                  <a:defRPr lang="en-US" sz="200"/>
                </a:pPr>
                <a:endParaRPr lang="fr-FR"/>
              </a:p>
            </c:txPr>
            <c:showVal val="1"/>
          </c:dLbls>
          <c:cat>
            <c:strRef>
              <c:f>'4-Réalisation'!$B$3:$B$151</c:f>
              <c:strCache>
                <c:ptCount val="149"/>
                <c:pt idx="0">
                  <c:v>Fèves</c:v>
                </c:pt>
                <c:pt idx="1">
                  <c:v>Ail</c:v>
                </c:pt>
                <c:pt idx="2">
                  <c:v>Mâche 1</c:v>
                </c:pt>
                <c:pt idx="3">
                  <c:v>Oignon</c:v>
                </c:pt>
                <c:pt idx="4">
                  <c:v>Cébette 1</c:v>
                </c:pt>
                <c:pt idx="5">
                  <c:v>Fenouil 1</c:v>
                </c:pt>
                <c:pt idx="6">
                  <c:v>Mâche 2</c:v>
                </c:pt>
                <c:pt idx="7">
                  <c:v>Epinard 1</c:v>
                </c:pt>
                <c:pt idx="8">
                  <c:v>Pt Pois</c:v>
                </c:pt>
                <c:pt idx="9">
                  <c:v>Mesclun 1</c:v>
                </c:pt>
                <c:pt idx="10">
                  <c:v>Salade 1</c:v>
                </c:pt>
                <c:pt idx="11">
                  <c:v>Salade 1-bis</c:v>
                </c:pt>
                <c:pt idx="12">
                  <c:v>Salade 1-ter</c:v>
                </c:pt>
                <c:pt idx="13">
                  <c:v>Persil 1</c:v>
                </c:pt>
                <c:pt idx="14">
                  <c:v>Chou Rave</c:v>
                </c:pt>
                <c:pt idx="15">
                  <c:v>Chou Chinois</c:v>
                </c:pt>
                <c:pt idx="16">
                  <c:v>Navet</c:v>
                </c:pt>
                <c:pt idx="17">
                  <c:v>Radis Red meat</c:v>
                </c:pt>
                <c:pt idx="18">
                  <c:v>Cébette 2</c:v>
                </c:pt>
                <c:pt idx="19">
                  <c:v>Epinard 2</c:v>
                </c:pt>
                <c:pt idx="20">
                  <c:v>Betterave 1</c:v>
                </c:pt>
                <c:pt idx="21">
                  <c:v>Mesclun 2</c:v>
                </c:pt>
                <c:pt idx="22">
                  <c:v>Blette 1</c:v>
                </c:pt>
                <c:pt idx="23">
                  <c:v>Salade 2</c:v>
                </c:pt>
                <c:pt idx="24">
                  <c:v>Salade 2 bis</c:v>
                </c:pt>
                <c:pt idx="25">
                  <c:v>Carotte 1</c:v>
                </c:pt>
                <c:pt idx="26">
                  <c:v>Radis 1</c:v>
                </c:pt>
                <c:pt idx="27">
                  <c:v>Tomate Cerise</c:v>
                </c:pt>
                <c:pt idx="28">
                  <c:v>Tomate Ronde</c:v>
                </c:pt>
                <c:pt idx="29">
                  <c:v>Tomates Anciennes</c:v>
                </c:pt>
                <c:pt idx="30">
                  <c:v>Salade 3</c:v>
                </c:pt>
                <c:pt idx="31">
                  <c:v>Salade 3 bis</c:v>
                </c:pt>
                <c:pt idx="32">
                  <c:v>Salade 3 Ter</c:v>
                </c:pt>
                <c:pt idx="33">
                  <c:v>Radis 2</c:v>
                </c:pt>
                <c:pt idx="34">
                  <c:v>Pak Choi</c:v>
                </c:pt>
                <c:pt idx="35">
                  <c:v>Mesclun 3</c:v>
                </c:pt>
                <c:pt idx="36">
                  <c:v>Salade 4</c:v>
                </c:pt>
                <c:pt idx="37">
                  <c:v>Salade 4 bis</c:v>
                </c:pt>
                <c:pt idx="38">
                  <c:v>Carotte 2</c:v>
                </c:pt>
                <c:pt idx="39">
                  <c:v>Panais</c:v>
                </c:pt>
                <c:pt idx="40">
                  <c:v>Radis 3</c:v>
                </c:pt>
                <c:pt idx="41">
                  <c:v>Poireau</c:v>
                </c:pt>
                <c:pt idx="42">
                  <c:v>Basilic</c:v>
                </c:pt>
                <c:pt idx="43">
                  <c:v>Radis 4</c:v>
                </c:pt>
                <c:pt idx="44">
                  <c:v>Courgette 1</c:v>
                </c:pt>
                <c:pt idx="45">
                  <c:v>Courgette 1 bis</c:v>
                </c:pt>
                <c:pt idx="46">
                  <c:v>Betterave 2</c:v>
                </c:pt>
                <c:pt idx="47">
                  <c:v>Navet 2</c:v>
                </c:pt>
                <c:pt idx="48">
                  <c:v>Tomate Roma</c:v>
                </c:pt>
                <c:pt idx="49">
                  <c:v>Tomate Ancienne 2</c:v>
                </c:pt>
                <c:pt idx="50">
                  <c:v>Tomate Ronde 2</c:v>
                </c:pt>
                <c:pt idx="51">
                  <c:v>Salade 5</c:v>
                </c:pt>
                <c:pt idx="52">
                  <c:v>Salade 5-bis</c:v>
                </c:pt>
                <c:pt idx="53">
                  <c:v>Mesclun 4</c:v>
                </c:pt>
                <c:pt idx="54">
                  <c:v>Persil 2</c:v>
                </c:pt>
                <c:pt idx="55">
                  <c:v>PdT 1</c:v>
                </c:pt>
                <c:pt idx="56">
                  <c:v>PdT1-bis</c:v>
                </c:pt>
                <c:pt idx="57">
                  <c:v>Courgette 2</c:v>
                </c:pt>
                <c:pt idx="58">
                  <c:v>Courgette 2-Bis</c:v>
                </c:pt>
                <c:pt idx="59">
                  <c:v>Concombre 1</c:v>
                </c:pt>
                <c:pt idx="60">
                  <c:v>Salade 6</c:v>
                </c:pt>
                <c:pt idx="61">
                  <c:v>Salade 6-bis</c:v>
                </c:pt>
                <c:pt idx="62">
                  <c:v>Carotte 3</c:v>
                </c:pt>
                <c:pt idx="63">
                  <c:v>Betterave 3</c:v>
                </c:pt>
                <c:pt idx="64">
                  <c:v>HV 1</c:v>
                </c:pt>
                <c:pt idx="65">
                  <c:v>Salade 7</c:v>
                </c:pt>
                <c:pt idx="66">
                  <c:v>Carotte 4</c:v>
                </c:pt>
                <c:pt idx="67">
                  <c:v>Potimmaron</c:v>
                </c:pt>
                <c:pt idx="68">
                  <c:v>Courgette 3</c:v>
                </c:pt>
                <c:pt idx="69">
                  <c:v>Courgette 3 bis</c:v>
                </c:pt>
                <c:pt idx="70">
                  <c:v>Melon</c:v>
                </c:pt>
                <c:pt idx="71">
                  <c:v>HV 2</c:v>
                </c:pt>
                <c:pt idx="72">
                  <c:v>Carotte 5</c:v>
                </c:pt>
                <c:pt idx="73">
                  <c:v>Concombre 2</c:v>
                </c:pt>
                <c:pt idx="74">
                  <c:v>Mesclun 5</c:v>
                </c:pt>
                <c:pt idx="75">
                  <c:v>Salade 8</c:v>
                </c:pt>
                <c:pt idx="76">
                  <c:v>HV3</c:v>
                </c:pt>
                <c:pt idx="77">
                  <c:v>Carotte 6</c:v>
                </c:pt>
                <c:pt idx="78">
                  <c:v>PdT 2</c:v>
                </c:pt>
                <c:pt idx="79">
                  <c:v>HV 4</c:v>
                </c:pt>
                <c:pt idx="80">
                  <c:v>Maïs Doux</c:v>
                </c:pt>
                <c:pt idx="81">
                  <c:v>Carotte 7</c:v>
                </c:pt>
                <c:pt idx="82">
                  <c:v>Betterave 4</c:v>
                </c:pt>
                <c:pt idx="83">
                  <c:v>Navet 3</c:v>
                </c:pt>
                <c:pt idx="84">
                  <c:v>Mesclun 6</c:v>
                </c:pt>
                <c:pt idx="85">
                  <c:v>Salade 9</c:v>
                </c:pt>
                <c:pt idx="86">
                  <c:v>Courgette 4</c:v>
                </c:pt>
                <c:pt idx="87">
                  <c:v>Courgette 4 bis</c:v>
                </c:pt>
                <c:pt idx="88">
                  <c:v>HV5</c:v>
                </c:pt>
                <c:pt idx="89">
                  <c:v>HV6</c:v>
                </c:pt>
                <c:pt idx="90">
                  <c:v>Maïs Doux 2</c:v>
                </c:pt>
                <c:pt idx="91">
                  <c:v>Mesclun 7</c:v>
                </c:pt>
                <c:pt idx="92">
                  <c:v>Salade 10</c:v>
                </c:pt>
                <c:pt idx="93">
                  <c:v>Salade 10-Bis</c:v>
                </c:pt>
                <c:pt idx="94">
                  <c:v>HV7</c:v>
                </c:pt>
                <c:pt idx="95">
                  <c:v>Maïs Doux 3</c:v>
                </c:pt>
                <c:pt idx="96">
                  <c:v>Carotte 8</c:v>
                </c:pt>
                <c:pt idx="97">
                  <c:v>Mesclun 8/9</c:v>
                </c:pt>
                <c:pt idx="98">
                  <c:v>Courgette 5</c:v>
                </c:pt>
                <c:pt idx="99">
                  <c:v>Courgette 5 bis</c:v>
                </c:pt>
                <c:pt idx="100">
                  <c:v>Chou Fleur</c:v>
                </c:pt>
                <c:pt idx="101">
                  <c:v>Chou Rave</c:v>
                </c:pt>
                <c:pt idx="102">
                  <c:v>Chou de Milan</c:v>
                </c:pt>
                <c:pt idx="103">
                  <c:v>Chou Chinois 2</c:v>
                </c:pt>
                <c:pt idx="104">
                  <c:v>Fenouil 2</c:v>
                </c:pt>
                <c:pt idx="105">
                  <c:v>HV8</c:v>
                </c:pt>
                <c:pt idx="106">
                  <c:v>Pain de sucre</c:v>
                </c:pt>
                <c:pt idx="107">
                  <c:v>Chicorée</c:v>
                </c:pt>
                <c:pt idx="108">
                  <c:v>Salade 11</c:v>
                </c:pt>
                <c:pt idx="109">
                  <c:v>Mesclun 10</c:v>
                </c:pt>
                <c:pt idx="110">
                  <c:v>HV 9</c:v>
                </c:pt>
                <c:pt idx="111">
                  <c:v>Mesclun 11</c:v>
                </c:pt>
                <c:pt idx="112">
                  <c:v>Persil 3/4</c:v>
                </c:pt>
                <c:pt idx="113">
                  <c:v>Chou Chinois 3</c:v>
                </c:pt>
                <c:pt idx="114">
                  <c:v>mesclun 12</c:v>
                </c:pt>
                <c:pt idx="115">
                  <c:v>pain de sucre 2</c:v>
                </c:pt>
                <c:pt idx="116">
                  <c:v>Pak choi 2</c:v>
                </c:pt>
                <c:pt idx="117">
                  <c:v>Blette 2</c:v>
                </c:pt>
                <c:pt idx="118">
                  <c:v>Mesclun 13</c:v>
                </c:pt>
                <c:pt idx="119">
                  <c:v>Salade 12</c:v>
                </c:pt>
                <c:pt idx="120">
                  <c:v>Salade 12-bis</c:v>
                </c:pt>
                <c:pt idx="121">
                  <c:v>Salade 12-Ter</c:v>
                </c:pt>
                <c:pt idx="122">
                  <c:v>Mesclun 14</c:v>
                </c:pt>
                <c:pt idx="123">
                  <c:v>Salade 13</c:v>
                </c:pt>
                <c:pt idx="124">
                  <c:v>Mesclun 15</c:v>
                </c:pt>
                <c:pt idx="125">
                  <c:v>Mâche 3</c:v>
                </c:pt>
                <c:pt idx="126">
                  <c:v>Epinard 3</c:v>
                </c:pt>
                <c:pt idx="127">
                  <c:v>Navet 3</c:v>
                </c:pt>
                <c:pt idx="128">
                  <c:v>Radis Noir 1</c:v>
                </c:pt>
                <c:pt idx="129">
                  <c:v>Radis Red meat 1</c:v>
                </c:pt>
                <c:pt idx="130">
                  <c:v>Betterave 5</c:v>
                </c:pt>
                <c:pt idx="131">
                  <c:v>Radis Noir 2</c:v>
                </c:pt>
                <c:pt idx="132">
                  <c:v>Mâche 4</c:v>
                </c:pt>
                <c:pt idx="133">
                  <c:v>Epinard 4</c:v>
                </c:pt>
                <c:pt idx="134">
                  <c:v>Navet 4</c:v>
                </c:pt>
                <c:pt idx="135">
                  <c:v>Red Meat 2</c:v>
                </c:pt>
                <c:pt idx="136">
                  <c:v>Navet 5</c:v>
                </c:pt>
                <c:pt idx="137">
                  <c:v>Radis Red meat 3</c:v>
                </c:pt>
                <c:pt idx="138">
                  <c:v>Epinard 5/6</c:v>
                </c:pt>
                <c:pt idx="139">
                  <c:v>Mesclun 16</c:v>
                </c:pt>
                <c:pt idx="140">
                  <c:v>Mesclun 17</c:v>
                </c:pt>
                <c:pt idx="141">
                  <c:v>Mâche 5</c:v>
                </c:pt>
                <c:pt idx="142">
                  <c:v>Mesclun 18</c:v>
                </c:pt>
                <c:pt idx="143">
                  <c:v>Mesclun 19</c:v>
                </c:pt>
                <c:pt idx="144">
                  <c:v>Mesclun 20</c:v>
                </c:pt>
                <c:pt idx="145">
                  <c:v>Radis 5</c:v>
                </c:pt>
                <c:pt idx="146">
                  <c:v>Radis 5-bis</c:v>
                </c:pt>
                <c:pt idx="147">
                  <c:v>Radis 6</c:v>
                </c:pt>
                <c:pt idx="148">
                  <c:v>TOTAL</c:v>
                </c:pt>
              </c:strCache>
            </c:strRef>
          </c:cat>
          <c:val>
            <c:numRef>
              <c:f>'4-Réalisation'!$L$3:$L$151</c:f>
              <c:numCache>
                <c:formatCode>0</c:formatCode>
                <c:ptCount val="149"/>
                <c:pt idx="0">
                  <c:v>159</c:v>
                </c:pt>
                <c:pt idx="1">
                  <c:v>131</c:v>
                </c:pt>
                <c:pt idx="2">
                  <c:v>82</c:v>
                </c:pt>
                <c:pt idx="3">
                  <c:v>162</c:v>
                </c:pt>
                <c:pt idx="4">
                  <c:v>154</c:v>
                </c:pt>
                <c:pt idx="5">
                  <c:v>131</c:v>
                </c:pt>
                <c:pt idx="6">
                  <c:v>78</c:v>
                </c:pt>
                <c:pt idx="7">
                  <c:v>-42758</c:v>
                </c:pt>
                <c:pt idx="8">
                  <c:v>118</c:v>
                </c:pt>
                <c:pt idx="9">
                  <c:v>62</c:v>
                </c:pt>
                <c:pt idx="10">
                  <c:v>99</c:v>
                </c:pt>
                <c:pt idx="11">
                  <c:v>95</c:v>
                </c:pt>
                <c:pt idx="12">
                  <c:v>95</c:v>
                </c:pt>
                <c:pt idx="13">
                  <c:v>90</c:v>
                </c:pt>
                <c:pt idx="14">
                  <c:v>105</c:v>
                </c:pt>
                <c:pt idx="15">
                  <c:v>87</c:v>
                </c:pt>
                <c:pt idx="16">
                  <c:v>77</c:v>
                </c:pt>
                <c:pt idx="17">
                  <c:v>77</c:v>
                </c:pt>
                <c:pt idx="18">
                  <c:v>121</c:v>
                </c:pt>
                <c:pt idx="19">
                  <c:v>61</c:v>
                </c:pt>
                <c:pt idx="20">
                  <c:v>89</c:v>
                </c:pt>
                <c:pt idx="21">
                  <c:v>47</c:v>
                </c:pt>
                <c:pt idx="22">
                  <c:v>80</c:v>
                </c:pt>
                <c:pt idx="23">
                  <c:v>80</c:v>
                </c:pt>
                <c:pt idx="24">
                  <c:v>80</c:v>
                </c:pt>
                <c:pt idx="25">
                  <c:v>113</c:v>
                </c:pt>
                <c:pt idx="26">
                  <c:v>41</c:v>
                </c:pt>
                <c:pt idx="27">
                  <c:v>140</c:v>
                </c:pt>
                <c:pt idx="28">
                  <c:v>146</c:v>
                </c:pt>
                <c:pt idx="29">
                  <c:v>146</c:v>
                </c:pt>
                <c:pt idx="30">
                  <c:v>90</c:v>
                </c:pt>
                <c:pt idx="31">
                  <c:v>93</c:v>
                </c:pt>
                <c:pt idx="32">
                  <c:v>83</c:v>
                </c:pt>
                <c:pt idx="33">
                  <c:v>39</c:v>
                </c:pt>
                <c:pt idx="34">
                  <c:v>66</c:v>
                </c:pt>
                <c:pt idx="35">
                  <c:v>49</c:v>
                </c:pt>
                <c:pt idx="36">
                  <c:v>78</c:v>
                </c:pt>
                <c:pt idx="37">
                  <c:v>85</c:v>
                </c:pt>
                <c:pt idx="38">
                  <c:v>95</c:v>
                </c:pt>
                <c:pt idx="39">
                  <c:v>-42809</c:v>
                </c:pt>
                <c:pt idx="40">
                  <c:v>34</c:v>
                </c:pt>
                <c:pt idx="41">
                  <c:v>189</c:v>
                </c:pt>
                <c:pt idx="42">
                  <c:v>31</c:v>
                </c:pt>
                <c:pt idx="43">
                  <c:v>44</c:v>
                </c:pt>
                <c:pt idx="44">
                  <c:v>92</c:v>
                </c:pt>
                <c:pt idx="45">
                  <c:v>85</c:v>
                </c:pt>
                <c:pt idx="46">
                  <c:v>71</c:v>
                </c:pt>
                <c:pt idx="47">
                  <c:v>68</c:v>
                </c:pt>
                <c:pt idx="48">
                  <c:v>54</c:v>
                </c:pt>
                <c:pt idx="49">
                  <c:v>55</c:v>
                </c:pt>
                <c:pt idx="50">
                  <c:v>55</c:v>
                </c:pt>
                <c:pt idx="51">
                  <c:v>75</c:v>
                </c:pt>
                <c:pt idx="52">
                  <c:v>75</c:v>
                </c:pt>
                <c:pt idx="53">
                  <c:v>39</c:v>
                </c:pt>
                <c:pt idx="54">
                  <c:v>67</c:v>
                </c:pt>
                <c:pt idx="55">
                  <c:v>76</c:v>
                </c:pt>
                <c:pt idx="56">
                  <c:v>76</c:v>
                </c:pt>
                <c:pt idx="57">
                  <c:v>58</c:v>
                </c:pt>
                <c:pt idx="58">
                  <c:v>65</c:v>
                </c:pt>
                <c:pt idx="59">
                  <c:v>104</c:v>
                </c:pt>
                <c:pt idx="60">
                  <c:v>76</c:v>
                </c:pt>
                <c:pt idx="61">
                  <c:v>76</c:v>
                </c:pt>
                <c:pt idx="62">
                  <c:v>77</c:v>
                </c:pt>
                <c:pt idx="63">
                  <c:v>76</c:v>
                </c:pt>
                <c:pt idx="64">
                  <c:v>-42859</c:v>
                </c:pt>
                <c:pt idx="65">
                  <c:v>67</c:v>
                </c:pt>
                <c:pt idx="66">
                  <c:v>-42864</c:v>
                </c:pt>
                <c:pt idx="67">
                  <c:v>-42872</c:v>
                </c:pt>
                <c:pt idx="68">
                  <c:v>54</c:v>
                </c:pt>
                <c:pt idx="69">
                  <c:v>47</c:v>
                </c:pt>
                <c:pt idx="70">
                  <c:v>90</c:v>
                </c:pt>
                <c:pt idx="71">
                  <c:v>82</c:v>
                </c:pt>
                <c:pt idx="72">
                  <c:v>89</c:v>
                </c:pt>
                <c:pt idx="73">
                  <c:v>69</c:v>
                </c:pt>
                <c:pt idx="74">
                  <c:v>43</c:v>
                </c:pt>
                <c:pt idx="75">
                  <c:v>-42879</c:v>
                </c:pt>
                <c:pt idx="76">
                  <c:v>-42879</c:v>
                </c:pt>
                <c:pt idx="77">
                  <c:v>-42880</c:v>
                </c:pt>
                <c:pt idx="78">
                  <c:v>-42880</c:v>
                </c:pt>
                <c:pt idx="79">
                  <c:v>57</c:v>
                </c:pt>
                <c:pt idx="80">
                  <c:v>-42891</c:v>
                </c:pt>
                <c:pt idx="81">
                  <c:v>-42892</c:v>
                </c:pt>
                <c:pt idx="82">
                  <c:v>-42892</c:v>
                </c:pt>
                <c:pt idx="83">
                  <c:v>-42892</c:v>
                </c:pt>
                <c:pt idx="84">
                  <c:v>34</c:v>
                </c:pt>
                <c:pt idx="85">
                  <c:v>72</c:v>
                </c:pt>
                <c:pt idx="86">
                  <c:v>41</c:v>
                </c:pt>
                <c:pt idx="87">
                  <c:v>41</c:v>
                </c:pt>
                <c:pt idx="88">
                  <c:v>55</c:v>
                </c:pt>
                <c:pt idx="89">
                  <c:v>-42905</c:v>
                </c:pt>
                <c:pt idx="90">
                  <c:v>77</c:v>
                </c:pt>
                <c:pt idx="91">
                  <c:v>40</c:v>
                </c:pt>
                <c:pt idx="92">
                  <c:v>62</c:v>
                </c:pt>
                <c:pt idx="93">
                  <c:v>58</c:v>
                </c:pt>
                <c:pt idx="94">
                  <c:v>58</c:v>
                </c:pt>
                <c:pt idx="95">
                  <c:v>72</c:v>
                </c:pt>
                <c:pt idx="96">
                  <c:v>88</c:v>
                </c:pt>
                <c:pt idx="97">
                  <c:v>29</c:v>
                </c:pt>
                <c:pt idx="98">
                  <c:v>42</c:v>
                </c:pt>
                <c:pt idx="99">
                  <c:v>-42912</c:v>
                </c:pt>
                <c:pt idx="100">
                  <c:v>118</c:v>
                </c:pt>
                <c:pt idx="101">
                  <c:v>97</c:v>
                </c:pt>
                <c:pt idx="102">
                  <c:v>-42914</c:v>
                </c:pt>
                <c:pt idx="103">
                  <c:v>121</c:v>
                </c:pt>
                <c:pt idx="104">
                  <c:v>97</c:v>
                </c:pt>
                <c:pt idx="105">
                  <c:v>64</c:v>
                </c:pt>
                <c:pt idx="106">
                  <c:v>90</c:v>
                </c:pt>
                <c:pt idx="107">
                  <c:v>90</c:v>
                </c:pt>
                <c:pt idx="108">
                  <c:v>62</c:v>
                </c:pt>
                <c:pt idx="109">
                  <c:v>34</c:v>
                </c:pt>
                <c:pt idx="110">
                  <c:v>57</c:v>
                </c:pt>
                <c:pt idx="111">
                  <c:v>37</c:v>
                </c:pt>
                <c:pt idx="112">
                  <c:v>65</c:v>
                </c:pt>
                <c:pt idx="113">
                  <c:v>82</c:v>
                </c:pt>
                <c:pt idx="114">
                  <c:v>40</c:v>
                </c:pt>
                <c:pt idx="115">
                  <c:v>107</c:v>
                </c:pt>
                <c:pt idx="116">
                  <c:v>55</c:v>
                </c:pt>
                <c:pt idx="117">
                  <c:v>76</c:v>
                </c:pt>
                <c:pt idx="118">
                  <c:v>39</c:v>
                </c:pt>
                <c:pt idx="119">
                  <c:v>83</c:v>
                </c:pt>
                <c:pt idx="120">
                  <c:v>58</c:v>
                </c:pt>
                <c:pt idx="121">
                  <c:v>69</c:v>
                </c:pt>
                <c:pt idx="122">
                  <c:v>39</c:v>
                </c:pt>
                <c:pt idx="123">
                  <c:v>-42952</c:v>
                </c:pt>
                <c:pt idx="124">
                  <c:v>45</c:v>
                </c:pt>
                <c:pt idx="125">
                  <c:v>70</c:v>
                </c:pt>
                <c:pt idx="126">
                  <c:v>-42955</c:v>
                </c:pt>
                <c:pt idx="127">
                  <c:v>69</c:v>
                </c:pt>
                <c:pt idx="128">
                  <c:v>100</c:v>
                </c:pt>
                <c:pt idx="129">
                  <c:v>79</c:v>
                </c:pt>
                <c:pt idx="130">
                  <c:v>64</c:v>
                </c:pt>
                <c:pt idx="131">
                  <c:v>60</c:v>
                </c:pt>
                <c:pt idx="132">
                  <c:v>82</c:v>
                </c:pt>
                <c:pt idx="133">
                  <c:v>71</c:v>
                </c:pt>
                <c:pt idx="134">
                  <c:v>64</c:v>
                </c:pt>
                <c:pt idx="135">
                  <c:v>71</c:v>
                </c:pt>
                <c:pt idx="136">
                  <c:v>83</c:v>
                </c:pt>
                <c:pt idx="137">
                  <c:v>86</c:v>
                </c:pt>
                <c:pt idx="138">
                  <c:v>-42963</c:v>
                </c:pt>
                <c:pt idx="139">
                  <c:v>41</c:v>
                </c:pt>
                <c:pt idx="140">
                  <c:v>43</c:v>
                </c:pt>
                <c:pt idx="141">
                  <c:v>87</c:v>
                </c:pt>
                <c:pt idx="142">
                  <c:v>44</c:v>
                </c:pt>
                <c:pt idx="143">
                  <c:v>46</c:v>
                </c:pt>
                <c:pt idx="144">
                  <c:v>64</c:v>
                </c:pt>
                <c:pt idx="145">
                  <c:v>36</c:v>
                </c:pt>
                <c:pt idx="146">
                  <c:v>40</c:v>
                </c:pt>
                <c:pt idx="147">
                  <c:v>29</c:v>
                </c:pt>
              </c:numCache>
            </c:numRef>
          </c:val>
        </c:ser>
        <c:ser>
          <c:idx val="4"/>
          <c:order val="4"/>
          <c:tx>
            <c:strRef>
              <c:f>'4-Réalisation'!$BD$1</c:f>
              <c:strCache>
                <c:ptCount val="1"/>
                <c:pt idx="0">
                  <c:v>Tps Récole</c:v>
                </c:pt>
              </c:strCache>
            </c:strRef>
          </c:tx>
          <c:dLbls>
            <c:txPr>
              <a:bodyPr/>
              <a:lstStyle/>
              <a:p>
                <a:pPr>
                  <a:defRPr lang="en-US" sz="200"/>
                </a:pPr>
                <a:endParaRPr lang="fr-FR"/>
              </a:p>
            </c:txPr>
            <c:showVal val="1"/>
          </c:dLbls>
          <c:cat>
            <c:strRef>
              <c:f>'4-Réalisation'!$B$3:$B$151</c:f>
              <c:strCache>
                <c:ptCount val="149"/>
                <c:pt idx="0">
                  <c:v>Fèves</c:v>
                </c:pt>
                <c:pt idx="1">
                  <c:v>Ail</c:v>
                </c:pt>
                <c:pt idx="2">
                  <c:v>Mâche 1</c:v>
                </c:pt>
                <c:pt idx="3">
                  <c:v>Oignon</c:v>
                </c:pt>
                <c:pt idx="4">
                  <c:v>Cébette 1</c:v>
                </c:pt>
                <c:pt idx="5">
                  <c:v>Fenouil 1</c:v>
                </c:pt>
                <c:pt idx="6">
                  <c:v>Mâche 2</c:v>
                </c:pt>
                <c:pt idx="7">
                  <c:v>Epinard 1</c:v>
                </c:pt>
                <c:pt idx="8">
                  <c:v>Pt Pois</c:v>
                </c:pt>
                <c:pt idx="9">
                  <c:v>Mesclun 1</c:v>
                </c:pt>
                <c:pt idx="10">
                  <c:v>Salade 1</c:v>
                </c:pt>
                <c:pt idx="11">
                  <c:v>Salade 1-bis</c:v>
                </c:pt>
                <c:pt idx="12">
                  <c:v>Salade 1-ter</c:v>
                </c:pt>
                <c:pt idx="13">
                  <c:v>Persil 1</c:v>
                </c:pt>
                <c:pt idx="14">
                  <c:v>Chou Rave</c:v>
                </c:pt>
                <c:pt idx="15">
                  <c:v>Chou Chinois</c:v>
                </c:pt>
                <c:pt idx="16">
                  <c:v>Navet</c:v>
                </c:pt>
                <c:pt idx="17">
                  <c:v>Radis Red meat</c:v>
                </c:pt>
                <c:pt idx="18">
                  <c:v>Cébette 2</c:v>
                </c:pt>
                <c:pt idx="19">
                  <c:v>Epinard 2</c:v>
                </c:pt>
                <c:pt idx="20">
                  <c:v>Betterave 1</c:v>
                </c:pt>
                <c:pt idx="21">
                  <c:v>Mesclun 2</c:v>
                </c:pt>
                <c:pt idx="22">
                  <c:v>Blette 1</c:v>
                </c:pt>
                <c:pt idx="23">
                  <c:v>Salade 2</c:v>
                </c:pt>
                <c:pt idx="24">
                  <c:v>Salade 2 bis</c:v>
                </c:pt>
                <c:pt idx="25">
                  <c:v>Carotte 1</c:v>
                </c:pt>
                <c:pt idx="26">
                  <c:v>Radis 1</c:v>
                </c:pt>
                <c:pt idx="27">
                  <c:v>Tomate Cerise</c:v>
                </c:pt>
                <c:pt idx="28">
                  <c:v>Tomate Ronde</c:v>
                </c:pt>
                <c:pt idx="29">
                  <c:v>Tomates Anciennes</c:v>
                </c:pt>
                <c:pt idx="30">
                  <c:v>Salade 3</c:v>
                </c:pt>
                <c:pt idx="31">
                  <c:v>Salade 3 bis</c:v>
                </c:pt>
                <c:pt idx="32">
                  <c:v>Salade 3 Ter</c:v>
                </c:pt>
                <c:pt idx="33">
                  <c:v>Radis 2</c:v>
                </c:pt>
                <c:pt idx="34">
                  <c:v>Pak Choi</c:v>
                </c:pt>
                <c:pt idx="35">
                  <c:v>Mesclun 3</c:v>
                </c:pt>
                <c:pt idx="36">
                  <c:v>Salade 4</c:v>
                </c:pt>
                <c:pt idx="37">
                  <c:v>Salade 4 bis</c:v>
                </c:pt>
                <c:pt idx="38">
                  <c:v>Carotte 2</c:v>
                </c:pt>
                <c:pt idx="39">
                  <c:v>Panais</c:v>
                </c:pt>
                <c:pt idx="40">
                  <c:v>Radis 3</c:v>
                </c:pt>
                <c:pt idx="41">
                  <c:v>Poireau</c:v>
                </c:pt>
                <c:pt idx="42">
                  <c:v>Basilic</c:v>
                </c:pt>
                <c:pt idx="43">
                  <c:v>Radis 4</c:v>
                </c:pt>
                <c:pt idx="44">
                  <c:v>Courgette 1</c:v>
                </c:pt>
                <c:pt idx="45">
                  <c:v>Courgette 1 bis</c:v>
                </c:pt>
                <c:pt idx="46">
                  <c:v>Betterave 2</c:v>
                </c:pt>
                <c:pt idx="47">
                  <c:v>Navet 2</c:v>
                </c:pt>
                <c:pt idx="48">
                  <c:v>Tomate Roma</c:v>
                </c:pt>
                <c:pt idx="49">
                  <c:v>Tomate Ancienne 2</c:v>
                </c:pt>
                <c:pt idx="50">
                  <c:v>Tomate Ronde 2</c:v>
                </c:pt>
                <c:pt idx="51">
                  <c:v>Salade 5</c:v>
                </c:pt>
                <c:pt idx="52">
                  <c:v>Salade 5-bis</c:v>
                </c:pt>
                <c:pt idx="53">
                  <c:v>Mesclun 4</c:v>
                </c:pt>
                <c:pt idx="54">
                  <c:v>Persil 2</c:v>
                </c:pt>
                <c:pt idx="55">
                  <c:v>PdT 1</c:v>
                </c:pt>
                <c:pt idx="56">
                  <c:v>PdT1-bis</c:v>
                </c:pt>
                <c:pt idx="57">
                  <c:v>Courgette 2</c:v>
                </c:pt>
                <c:pt idx="58">
                  <c:v>Courgette 2-Bis</c:v>
                </c:pt>
                <c:pt idx="59">
                  <c:v>Concombre 1</c:v>
                </c:pt>
                <c:pt idx="60">
                  <c:v>Salade 6</c:v>
                </c:pt>
                <c:pt idx="61">
                  <c:v>Salade 6-bis</c:v>
                </c:pt>
                <c:pt idx="62">
                  <c:v>Carotte 3</c:v>
                </c:pt>
                <c:pt idx="63">
                  <c:v>Betterave 3</c:v>
                </c:pt>
                <c:pt idx="64">
                  <c:v>HV 1</c:v>
                </c:pt>
                <c:pt idx="65">
                  <c:v>Salade 7</c:v>
                </c:pt>
                <c:pt idx="66">
                  <c:v>Carotte 4</c:v>
                </c:pt>
                <c:pt idx="67">
                  <c:v>Potimmaron</c:v>
                </c:pt>
                <c:pt idx="68">
                  <c:v>Courgette 3</c:v>
                </c:pt>
                <c:pt idx="69">
                  <c:v>Courgette 3 bis</c:v>
                </c:pt>
                <c:pt idx="70">
                  <c:v>Melon</c:v>
                </c:pt>
                <c:pt idx="71">
                  <c:v>HV 2</c:v>
                </c:pt>
                <c:pt idx="72">
                  <c:v>Carotte 5</c:v>
                </c:pt>
                <c:pt idx="73">
                  <c:v>Concombre 2</c:v>
                </c:pt>
                <c:pt idx="74">
                  <c:v>Mesclun 5</c:v>
                </c:pt>
                <c:pt idx="75">
                  <c:v>Salade 8</c:v>
                </c:pt>
                <c:pt idx="76">
                  <c:v>HV3</c:v>
                </c:pt>
                <c:pt idx="77">
                  <c:v>Carotte 6</c:v>
                </c:pt>
                <c:pt idx="78">
                  <c:v>PdT 2</c:v>
                </c:pt>
                <c:pt idx="79">
                  <c:v>HV 4</c:v>
                </c:pt>
                <c:pt idx="80">
                  <c:v>Maïs Doux</c:v>
                </c:pt>
                <c:pt idx="81">
                  <c:v>Carotte 7</c:v>
                </c:pt>
                <c:pt idx="82">
                  <c:v>Betterave 4</c:v>
                </c:pt>
                <c:pt idx="83">
                  <c:v>Navet 3</c:v>
                </c:pt>
                <c:pt idx="84">
                  <c:v>Mesclun 6</c:v>
                </c:pt>
                <c:pt idx="85">
                  <c:v>Salade 9</c:v>
                </c:pt>
                <c:pt idx="86">
                  <c:v>Courgette 4</c:v>
                </c:pt>
                <c:pt idx="87">
                  <c:v>Courgette 4 bis</c:v>
                </c:pt>
                <c:pt idx="88">
                  <c:v>HV5</c:v>
                </c:pt>
                <c:pt idx="89">
                  <c:v>HV6</c:v>
                </c:pt>
                <c:pt idx="90">
                  <c:v>Maïs Doux 2</c:v>
                </c:pt>
                <c:pt idx="91">
                  <c:v>Mesclun 7</c:v>
                </c:pt>
                <c:pt idx="92">
                  <c:v>Salade 10</c:v>
                </c:pt>
                <c:pt idx="93">
                  <c:v>Salade 10-Bis</c:v>
                </c:pt>
                <c:pt idx="94">
                  <c:v>HV7</c:v>
                </c:pt>
                <c:pt idx="95">
                  <c:v>Maïs Doux 3</c:v>
                </c:pt>
                <c:pt idx="96">
                  <c:v>Carotte 8</c:v>
                </c:pt>
                <c:pt idx="97">
                  <c:v>Mesclun 8/9</c:v>
                </c:pt>
                <c:pt idx="98">
                  <c:v>Courgette 5</c:v>
                </c:pt>
                <c:pt idx="99">
                  <c:v>Courgette 5 bis</c:v>
                </c:pt>
                <c:pt idx="100">
                  <c:v>Chou Fleur</c:v>
                </c:pt>
                <c:pt idx="101">
                  <c:v>Chou Rave</c:v>
                </c:pt>
                <c:pt idx="102">
                  <c:v>Chou de Milan</c:v>
                </c:pt>
                <c:pt idx="103">
                  <c:v>Chou Chinois 2</c:v>
                </c:pt>
                <c:pt idx="104">
                  <c:v>Fenouil 2</c:v>
                </c:pt>
                <c:pt idx="105">
                  <c:v>HV8</c:v>
                </c:pt>
                <c:pt idx="106">
                  <c:v>Pain de sucre</c:v>
                </c:pt>
                <c:pt idx="107">
                  <c:v>Chicorée</c:v>
                </c:pt>
                <c:pt idx="108">
                  <c:v>Salade 11</c:v>
                </c:pt>
                <c:pt idx="109">
                  <c:v>Mesclun 10</c:v>
                </c:pt>
                <c:pt idx="110">
                  <c:v>HV 9</c:v>
                </c:pt>
                <c:pt idx="111">
                  <c:v>Mesclun 11</c:v>
                </c:pt>
                <c:pt idx="112">
                  <c:v>Persil 3/4</c:v>
                </c:pt>
                <c:pt idx="113">
                  <c:v>Chou Chinois 3</c:v>
                </c:pt>
                <c:pt idx="114">
                  <c:v>mesclun 12</c:v>
                </c:pt>
                <c:pt idx="115">
                  <c:v>pain de sucre 2</c:v>
                </c:pt>
                <c:pt idx="116">
                  <c:v>Pak choi 2</c:v>
                </c:pt>
                <c:pt idx="117">
                  <c:v>Blette 2</c:v>
                </c:pt>
                <c:pt idx="118">
                  <c:v>Mesclun 13</c:v>
                </c:pt>
                <c:pt idx="119">
                  <c:v>Salade 12</c:v>
                </c:pt>
                <c:pt idx="120">
                  <c:v>Salade 12-bis</c:v>
                </c:pt>
                <c:pt idx="121">
                  <c:v>Salade 12-Ter</c:v>
                </c:pt>
                <c:pt idx="122">
                  <c:v>Mesclun 14</c:v>
                </c:pt>
                <c:pt idx="123">
                  <c:v>Salade 13</c:v>
                </c:pt>
                <c:pt idx="124">
                  <c:v>Mesclun 15</c:v>
                </c:pt>
                <c:pt idx="125">
                  <c:v>Mâche 3</c:v>
                </c:pt>
                <c:pt idx="126">
                  <c:v>Epinard 3</c:v>
                </c:pt>
                <c:pt idx="127">
                  <c:v>Navet 3</c:v>
                </c:pt>
                <c:pt idx="128">
                  <c:v>Radis Noir 1</c:v>
                </c:pt>
                <c:pt idx="129">
                  <c:v>Radis Red meat 1</c:v>
                </c:pt>
                <c:pt idx="130">
                  <c:v>Betterave 5</c:v>
                </c:pt>
                <c:pt idx="131">
                  <c:v>Radis Noir 2</c:v>
                </c:pt>
                <c:pt idx="132">
                  <c:v>Mâche 4</c:v>
                </c:pt>
                <c:pt idx="133">
                  <c:v>Epinard 4</c:v>
                </c:pt>
                <c:pt idx="134">
                  <c:v>Navet 4</c:v>
                </c:pt>
                <c:pt idx="135">
                  <c:v>Red Meat 2</c:v>
                </c:pt>
                <c:pt idx="136">
                  <c:v>Navet 5</c:v>
                </c:pt>
                <c:pt idx="137">
                  <c:v>Radis Red meat 3</c:v>
                </c:pt>
                <c:pt idx="138">
                  <c:v>Epinard 5/6</c:v>
                </c:pt>
                <c:pt idx="139">
                  <c:v>Mesclun 16</c:v>
                </c:pt>
                <c:pt idx="140">
                  <c:v>Mesclun 17</c:v>
                </c:pt>
                <c:pt idx="141">
                  <c:v>Mâche 5</c:v>
                </c:pt>
                <c:pt idx="142">
                  <c:v>Mesclun 18</c:v>
                </c:pt>
                <c:pt idx="143">
                  <c:v>Mesclun 19</c:v>
                </c:pt>
                <c:pt idx="144">
                  <c:v>Mesclun 20</c:v>
                </c:pt>
                <c:pt idx="145">
                  <c:v>Radis 5</c:v>
                </c:pt>
                <c:pt idx="146">
                  <c:v>Radis 5-bis</c:v>
                </c:pt>
                <c:pt idx="147">
                  <c:v>Radis 6</c:v>
                </c:pt>
                <c:pt idx="148">
                  <c:v>TOTAL</c:v>
                </c:pt>
              </c:strCache>
            </c:strRef>
          </c:cat>
          <c:val>
            <c:numRef>
              <c:f>'4-Réalisation'!$BD$3:$BD$151</c:f>
              <c:numCache>
                <c:formatCode>0</c:formatCode>
                <c:ptCount val="149"/>
                <c:pt idx="0">
                  <c:v>42</c:v>
                </c:pt>
                <c:pt idx="1">
                  <c:v>76</c:v>
                </c:pt>
                <c:pt idx="2">
                  <c:v>26</c:v>
                </c:pt>
                <c:pt idx="3">
                  <c:v>48</c:v>
                </c:pt>
                <c:pt idx="4">
                  <c:v>35</c:v>
                </c:pt>
                <c:pt idx="5">
                  <c:v>13</c:v>
                </c:pt>
                <c:pt idx="6">
                  <c:v>20</c:v>
                </c:pt>
                <c:pt idx="7">
                  <c:v>0</c:v>
                </c:pt>
                <c:pt idx="8">
                  <c:v>27</c:v>
                </c:pt>
                <c:pt idx="9">
                  <c:v>54</c:v>
                </c:pt>
                <c:pt idx="10">
                  <c:v>17</c:v>
                </c:pt>
                <c:pt idx="11">
                  <c:v>14</c:v>
                </c:pt>
                <c:pt idx="12">
                  <c:v>14</c:v>
                </c:pt>
                <c:pt idx="13">
                  <c:v>133</c:v>
                </c:pt>
                <c:pt idx="14">
                  <c:v>62</c:v>
                </c:pt>
                <c:pt idx="15">
                  <c:v>38</c:v>
                </c:pt>
                <c:pt idx="16">
                  <c:v>13</c:v>
                </c:pt>
                <c:pt idx="17">
                  <c:v>-1</c:v>
                </c:pt>
                <c:pt idx="18">
                  <c:v>46</c:v>
                </c:pt>
                <c:pt idx="19">
                  <c:v>41</c:v>
                </c:pt>
                <c:pt idx="20">
                  <c:v>34</c:v>
                </c:pt>
                <c:pt idx="21">
                  <c:v>54</c:v>
                </c:pt>
                <c:pt idx="22">
                  <c:v>70</c:v>
                </c:pt>
                <c:pt idx="23">
                  <c:v>21</c:v>
                </c:pt>
                <c:pt idx="24">
                  <c:v>14</c:v>
                </c:pt>
                <c:pt idx="25">
                  <c:v>10</c:v>
                </c:pt>
                <c:pt idx="26">
                  <c:v>12</c:v>
                </c:pt>
                <c:pt idx="27">
                  <c:v>111</c:v>
                </c:pt>
                <c:pt idx="28">
                  <c:v>105</c:v>
                </c:pt>
                <c:pt idx="29">
                  <c:v>105</c:v>
                </c:pt>
                <c:pt idx="30">
                  <c:v>7</c:v>
                </c:pt>
                <c:pt idx="31">
                  <c:v>11</c:v>
                </c:pt>
                <c:pt idx="32">
                  <c:v>14</c:v>
                </c:pt>
                <c:pt idx="33">
                  <c:v>13</c:v>
                </c:pt>
                <c:pt idx="34">
                  <c:v>10</c:v>
                </c:pt>
                <c:pt idx="35">
                  <c:v>42</c:v>
                </c:pt>
                <c:pt idx="36">
                  <c:v>6</c:v>
                </c:pt>
                <c:pt idx="37">
                  <c:v>6</c:v>
                </c:pt>
                <c:pt idx="38">
                  <c:v>17</c:v>
                </c:pt>
                <c:pt idx="39">
                  <c:v>0</c:v>
                </c:pt>
                <c:pt idx="40">
                  <c:v>20</c:v>
                </c:pt>
                <c:pt idx="41">
                  <c:v>88</c:v>
                </c:pt>
                <c:pt idx="42">
                  <c:v>21</c:v>
                </c:pt>
                <c:pt idx="43">
                  <c:v>10</c:v>
                </c:pt>
                <c:pt idx="44">
                  <c:v>45</c:v>
                </c:pt>
                <c:pt idx="45">
                  <c:v>87</c:v>
                </c:pt>
                <c:pt idx="46">
                  <c:v>31</c:v>
                </c:pt>
                <c:pt idx="47">
                  <c:v>13</c:v>
                </c:pt>
                <c:pt idx="48">
                  <c:v>153</c:v>
                </c:pt>
                <c:pt idx="49">
                  <c:v>152</c:v>
                </c:pt>
                <c:pt idx="50">
                  <c:v>152</c:v>
                </c:pt>
                <c:pt idx="51">
                  <c:v>6</c:v>
                </c:pt>
                <c:pt idx="52">
                  <c:v>6</c:v>
                </c:pt>
                <c:pt idx="53">
                  <c:v>35</c:v>
                </c:pt>
                <c:pt idx="54">
                  <c:v>133</c:v>
                </c:pt>
                <c:pt idx="55">
                  <c:v>34</c:v>
                </c:pt>
                <c:pt idx="56">
                  <c:v>34</c:v>
                </c:pt>
                <c:pt idx="57">
                  <c:v>94</c:v>
                </c:pt>
                <c:pt idx="58">
                  <c:v>87</c:v>
                </c:pt>
                <c:pt idx="59">
                  <c:v>20</c:v>
                </c:pt>
                <c:pt idx="60">
                  <c:v>6</c:v>
                </c:pt>
                <c:pt idx="61">
                  <c:v>6</c:v>
                </c:pt>
                <c:pt idx="62">
                  <c:v>24</c:v>
                </c:pt>
                <c:pt idx="63">
                  <c:v>20</c:v>
                </c:pt>
                <c:pt idx="64">
                  <c:v>0</c:v>
                </c:pt>
                <c:pt idx="65">
                  <c:v>10</c:v>
                </c:pt>
                <c:pt idx="66">
                  <c:v>0</c:v>
                </c:pt>
                <c:pt idx="67">
                  <c:v>0</c:v>
                </c:pt>
                <c:pt idx="68">
                  <c:v>62</c:v>
                </c:pt>
                <c:pt idx="69">
                  <c:v>69</c:v>
                </c:pt>
                <c:pt idx="70">
                  <c:v>20</c:v>
                </c:pt>
                <c:pt idx="71">
                  <c:v>-42955</c:v>
                </c:pt>
                <c:pt idx="72">
                  <c:v>6</c:v>
                </c:pt>
                <c:pt idx="73">
                  <c:v>34</c:v>
                </c:pt>
                <c:pt idx="74">
                  <c:v>53</c:v>
                </c:pt>
                <c:pt idx="75">
                  <c:v>0</c:v>
                </c:pt>
                <c:pt idx="76">
                  <c:v>0</c:v>
                </c:pt>
                <c:pt idx="77">
                  <c:v>0</c:v>
                </c:pt>
                <c:pt idx="78">
                  <c:v>0</c:v>
                </c:pt>
                <c:pt idx="79">
                  <c:v>41</c:v>
                </c:pt>
                <c:pt idx="80">
                  <c:v>0</c:v>
                </c:pt>
                <c:pt idx="81">
                  <c:v>0</c:v>
                </c:pt>
                <c:pt idx="82">
                  <c:v>0</c:v>
                </c:pt>
                <c:pt idx="83">
                  <c:v>0</c:v>
                </c:pt>
                <c:pt idx="84">
                  <c:v>48</c:v>
                </c:pt>
                <c:pt idx="85">
                  <c:v>10</c:v>
                </c:pt>
                <c:pt idx="86">
                  <c:v>62</c:v>
                </c:pt>
                <c:pt idx="87">
                  <c:v>62</c:v>
                </c:pt>
                <c:pt idx="88">
                  <c:v>6</c:v>
                </c:pt>
                <c:pt idx="89">
                  <c:v>0</c:v>
                </c:pt>
                <c:pt idx="90">
                  <c:v>7</c:v>
                </c:pt>
                <c:pt idx="91">
                  <c:v>28</c:v>
                </c:pt>
                <c:pt idx="92">
                  <c:v>13</c:v>
                </c:pt>
                <c:pt idx="93">
                  <c:v>24</c:v>
                </c:pt>
                <c:pt idx="94">
                  <c:v>27</c:v>
                </c:pt>
                <c:pt idx="95">
                  <c:v>27</c:v>
                </c:pt>
                <c:pt idx="96">
                  <c:v>38</c:v>
                </c:pt>
                <c:pt idx="97">
                  <c:v>55</c:v>
                </c:pt>
                <c:pt idx="98">
                  <c:v>42</c:v>
                </c:pt>
                <c:pt idx="99">
                  <c:v>0</c:v>
                </c:pt>
                <c:pt idx="100">
                  <c:v>29</c:v>
                </c:pt>
                <c:pt idx="101">
                  <c:v>77</c:v>
                </c:pt>
                <c:pt idx="102">
                  <c:v>0</c:v>
                </c:pt>
                <c:pt idx="103">
                  <c:v>53</c:v>
                </c:pt>
                <c:pt idx="104">
                  <c:v>45</c:v>
                </c:pt>
                <c:pt idx="105">
                  <c:v>27</c:v>
                </c:pt>
                <c:pt idx="106">
                  <c:v>27</c:v>
                </c:pt>
                <c:pt idx="107">
                  <c:v>34</c:v>
                </c:pt>
                <c:pt idx="108">
                  <c:v>41</c:v>
                </c:pt>
                <c:pt idx="109">
                  <c:v>41</c:v>
                </c:pt>
                <c:pt idx="110">
                  <c:v>20</c:v>
                </c:pt>
                <c:pt idx="111">
                  <c:v>59</c:v>
                </c:pt>
                <c:pt idx="112">
                  <c:v>54</c:v>
                </c:pt>
                <c:pt idx="113">
                  <c:v>14</c:v>
                </c:pt>
                <c:pt idx="114">
                  <c:v>63</c:v>
                </c:pt>
                <c:pt idx="115">
                  <c:v>46</c:v>
                </c:pt>
                <c:pt idx="116">
                  <c:v>27</c:v>
                </c:pt>
                <c:pt idx="117">
                  <c:v>73</c:v>
                </c:pt>
                <c:pt idx="118">
                  <c:v>52</c:v>
                </c:pt>
                <c:pt idx="119">
                  <c:v>31</c:v>
                </c:pt>
                <c:pt idx="120">
                  <c:v>24</c:v>
                </c:pt>
                <c:pt idx="121">
                  <c:v>20</c:v>
                </c:pt>
                <c:pt idx="122">
                  <c:v>63</c:v>
                </c:pt>
                <c:pt idx="123">
                  <c:v>0</c:v>
                </c:pt>
                <c:pt idx="124">
                  <c:v>52</c:v>
                </c:pt>
                <c:pt idx="125">
                  <c:v>20</c:v>
                </c:pt>
                <c:pt idx="126">
                  <c:v>0</c:v>
                </c:pt>
                <c:pt idx="127">
                  <c:v>31</c:v>
                </c:pt>
                <c:pt idx="128">
                  <c:v>32</c:v>
                </c:pt>
                <c:pt idx="129">
                  <c:v>53</c:v>
                </c:pt>
                <c:pt idx="130">
                  <c:v>67</c:v>
                </c:pt>
                <c:pt idx="131">
                  <c:v>71</c:v>
                </c:pt>
                <c:pt idx="132">
                  <c:v>46</c:v>
                </c:pt>
                <c:pt idx="133">
                  <c:v>36</c:v>
                </c:pt>
                <c:pt idx="134">
                  <c:v>38</c:v>
                </c:pt>
                <c:pt idx="135">
                  <c:v>56</c:v>
                </c:pt>
                <c:pt idx="136">
                  <c:v>10</c:v>
                </c:pt>
                <c:pt idx="137">
                  <c:v>39</c:v>
                </c:pt>
                <c:pt idx="138">
                  <c:v>0</c:v>
                </c:pt>
                <c:pt idx="139">
                  <c:v>41</c:v>
                </c:pt>
                <c:pt idx="140">
                  <c:v>79</c:v>
                </c:pt>
                <c:pt idx="141">
                  <c:v>35</c:v>
                </c:pt>
                <c:pt idx="142">
                  <c:v>71</c:v>
                </c:pt>
                <c:pt idx="143">
                  <c:v>64</c:v>
                </c:pt>
                <c:pt idx="144">
                  <c:v>36</c:v>
                </c:pt>
                <c:pt idx="145">
                  <c:v>42</c:v>
                </c:pt>
                <c:pt idx="146">
                  <c:v>31</c:v>
                </c:pt>
                <c:pt idx="147">
                  <c:v>28</c:v>
                </c:pt>
              </c:numCache>
            </c:numRef>
          </c:val>
        </c:ser>
        <c:overlap val="100"/>
        <c:axId val="119437184"/>
        <c:axId val="119438720"/>
      </c:barChart>
      <c:catAx>
        <c:axId val="119437184"/>
        <c:scaling>
          <c:orientation val="maxMin"/>
        </c:scaling>
        <c:axPos val="l"/>
        <c:numFmt formatCode="[$-40C]d\-mmm;@" sourceLinked="1"/>
        <c:tickLblPos val="nextTo"/>
        <c:txPr>
          <a:bodyPr/>
          <a:lstStyle/>
          <a:p>
            <a:pPr>
              <a:defRPr lang="en-US" sz="200"/>
            </a:pPr>
            <a:endParaRPr lang="fr-FR"/>
          </a:p>
        </c:txPr>
        <c:crossAx val="119438720"/>
        <c:crosses val="autoZero"/>
        <c:auto val="1"/>
        <c:lblAlgn val="ctr"/>
        <c:lblOffset val="100"/>
      </c:catAx>
      <c:valAx>
        <c:axId val="119438720"/>
        <c:scaling>
          <c:orientation val="minMax"/>
          <c:max val="43120"/>
          <c:min val="42670"/>
        </c:scaling>
        <c:axPos val="t"/>
        <c:majorGridlines/>
        <c:minorGridlines/>
        <c:numFmt formatCode="[$-40C]d\-mmm;@" sourceLinked="0"/>
        <c:minorTickMark val="out"/>
        <c:tickLblPos val="nextTo"/>
        <c:txPr>
          <a:bodyPr/>
          <a:lstStyle/>
          <a:p>
            <a:pPr>
              <a:defRPr lang="en-US"/>
            </a:pPr>
            <a:endParaRPr lang="fr-FR"/>
          </a:p>
        </c:txPr>
        <c:crossAx val="119437184"/>
        <c:crosses val="autoZero"/>
        <c:crossBetween val="between"/>
      </c:valAx>
    </c:plotArea>
    <c:legend>
      <c:legendPos val="r"/>
      <c:txPr>
        <a:bodyPr/>
        <a:lstStyle/>
        <a:p>
          <a:pPr>
            <a:defRPr lang="en-US"/>
          </a:pPr>
          <a:endParaRPr lang="fr-FR"/>
        </a:p>
      </c:txP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32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4223" cy="629759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6" name="Table57" displayName="Table57" ref="A1:AG34" totalsRowShown="0" headerRowDxfId="124" dataDxfId="123">
  <autoFilter ref="A1:AG34"/>
  <tableColumns count="33">
    <tableColumn id="1" name="Légumes" dataDxfId="122"/>
    <tableColumn id="34" name="Ail" dataDxfId="121"/>
    <tableColumn id="2" name="Aubergine" dataDxfId="120"/>
    <tableColumn id="3" name="Basilic" dataDxfId="119"/>
    <tableColumn id="4" name="Betterave" dataDxfId="118"/>
    <tableColumn id="6" name="Blette" dataDxfId="117"/>
    <tableColumn id="7" name="Brocoli" dataDxfId="116"/>
    <tableColumn id="8" name="Carotte" dataDxfId="115"/>
    <tableColumn id="9" name="Chou Cabus" dataDxfId="114"/>
    <tableColumn id="10" name="Chou Fleur" dataDxfId="113"/>
    <tableColumn id="11" name="Chou Romanesco" dataDxfId="112"/>
    <tableColumn id="12" name="Chou de Bruxelles" dataDxfId="111"/>
    <tableColumn id="13" name="Chou Rave" dataDxfId="110"/>
    <tableColumn id="14" name="Concombre" dataDxfId="109"/>
    <tableColumn id="15" name="Courge Potimarron" dataDxfId="108"/>
    <tableColumn id="16" name="Courgette" dataDxfId="107"/>
    <tableColumn id="17" name="Epinard" dataDxfId="106"/>
    <tableColumn id="18" name="Fenouil" dataDxfId="105"/>
    <tableColumn id="32" name="Fève" dataDxfId="104"/>
    <tableColumn id="19" name="Haricot" dataDxfId="103"/>
    <tableColumn id="20" name="Mâche" dataDxfId="102"/>
    <tableColumn id="35" name="Melon" dataDxfId="101"/>
    <tableColumn id="21" name="Navet" dataDxfId="100"/>
    <tableColumn id="22" name="Oignon" dataDxfId="99"/>
    <tableColumn id="23" name="Panais" dataDxfId="98"/>
    <tableColumn id="25" name="Persil" dataDxfId="97"/>
    <tableColumn id="31" name="Pois" dataDxfId="96"/>
    <tableColumn id="26" name="Poivron" dataDxfId="95"/>
    <tableColumn id="33" name="Pomme de Terre" dataDxfId="94"/>
    <tableColumn id="24" name="Radis" dataDxfId="93"/>
    <tableColumn id="27" name="Radis noir" dataDxfId="92"/>
    <tableColumn id="28" name="Salade" dataDxfId="91"/>
    <tableColumn id="29" name="Tomate" dataDxfId="90"/>
  </tableColumns>
  <tableStyleInfo name="TableStyleLight12" showFirstColumn="0" showLastColumn="0" showRowStripes="1" showColumnStripes="0"/>
</table>
</file>

<file path=xl/tables/table2.xml><?xml version="1.0" encoding="utf-8"?>
<table xmlns="http://schemas.openxmlformats.org/spreadsheetml/2006/main" id="4" name="Table4" displayName="Table4" ref="A1:L96" totalsRowShown="0" headerRowDxfId="89">
  <autoFilter ref="A1:L96">
    <filterColumn colId="1"/>
    <filterColumn colId="6"/>
    <filterColumn colId="7"/>
    <filterColumn colId="8"/>
    <filterColumn colId="9"/>
    <filterColumn colId="10"/>
    <filterColumn colId="11"/>
  </autoFilter>
  <sortState ref="A2:L96">
    <sortCondition ref="B1:B96"/>
  </sortState>
  <tableColumns count="12">
    <tableColumn id="2" name="Légume" dataDxfId="88" totalsRowDxfId="87"/>
    <tableColumn id="12" name="Date semis" dataDxfId="86" totalsRowDxfId="85">
      <calculatedColumnFormula>Table4[[#This Row],[Date plantation]]-Table4[[#This Row],[Tps motte]]</calculatedColumnFormula>
    </tableColumn>
    <tableColumn id="13" name="Tps motte" dataDxfId="84" totalsRowDxfId="83"/>
    <tableColumn id="14" name="Date plantation" dataDxfId="82" totalsRowDxfId="81"/>
    <tableColumn id="15" name="Tps croissance" dataDxfId="80" totalsRowDxfId="79"/>
    <tableColumn id="16" name="Début récolte" dataDxfId="78" totalsRowDxfId="77">
      <calculatedColumnFormula>B2+E2</calculatedColumnFormula>
    </tableColumn>
    <tableColumn id="1" name="Surface (m²)" dataDxfId="76" totalsRowDxfId="75"/>
    <tableColumn id="7" name="Qté plants/m²" dataDxfId="74" totalsRowDxfId="73"/>
    <tableColumn id="8" name="Nb de plants" dataDxfId="72" totalsRowDxfId="71">
      <calculatedColumnFormula>Table4[[#This Row],[Qté plants/m²]]*Table4[[#This Row],[Surface (m²)]]</calculatedColumnFormula>
    </tableColumn>
    <tableColumn id="4" name="Productivité/m²" dataDxfId="70"/>
    <tableColumn id="6" name="Unité" dataDxfId="69"/>
    <tableColumn id="5" name="Prévis. Quantité" dataDxfId="68">
      <calculatedColumnFormula>Table4[[#This Row],[Productivité/m²]]*Table4[[#This Row],[Surface (m²)]]</calculatedColumnFormula>
    </tableColumn>
  </tableColumns>
  <tableStyleInfo name="TableStyleLight19" showFirstColumn="0" showLastColumn="0" showRowStripes="1" showColumnStripes="0"/>
</table>
</file>

<file path=xl/tables/table3.xml><?xml version="1.0" encoding="utf-8"?>
<table xmlns="http://schemas.openxmlformats.org/spreadsheetml/2006/main" id="11" name="Table11" displayName="Table11" ref="A1:BO150" totalsRowShown="0" headerRowDxfId="67" dataDxfId="66">
  <autoFilter ref="A1:BO150">
    <filterColumn colId="0"/>
    <filterColumn colId="4"/>
    <filterColumn colId="5"/>
    <filterColumn colId="13"/>
    <filterColumn colId="14"/>
    <filterColumn colId="15"/>
    <filterColumn colId="17"/>
    <filterColumn colId="18"/>
    <filterColumn colId="19"/>
    <filterColumn colId="20"/>
    <filterColumn colId="21"/>
    <filterColumn colId="22"/>
    <filterColumn colId="23"/>
    <filterColumn colId="24"/>
    <filterColumn colId="25"/>
    <filterColumn colId="26"/>
    <filterColumn colId="27"/>
    <filterColumn colId="28"/>
    <filterColumn colId="29"/>
    <filterColumn colId="31"/>
    <filterColumn colId="32"/>
    <filterColumn colId="33"/>
    <filterColumn colId="34"/>
    <filterColumn colId="35"/>
    <filterColumn colId="36"/>
    <filterColumn colId="37"/>
    <filterColumn colId="38"/>
    <filterColumn colId="39"/>
    <filterColumn colId="40"/>
    <filterColumn colId="41"/>
    <filterColumn colId="42"/>
    <filterColumn colId="43"/>
    <filterColumn colId="44"/>
    <filterColumn colId="45"/>
    <filterColumn colId="46"/>
    <filterColumn colId="47"/>
    <filterColumn colId="48"/>
    <filterColumn colId="49"/>
    <filterColumn colId="50"/>
    <filterColumn colId="51"/>
    <filterColumn colId="52"/>
    <filterColumn colId="53"/>
    <filterColumn colId="54"/>
    <filterColumn colId="55"/>
    <filterColumn colId="56"/>
    <filterColumn colId="57"/>
    <filterColumn colId="58"/>
    <filterColumn colId="59"/>
    <filterColumn colId="60"/>
    <filterColumn colId="61"/>
    <filterColumn colId="62"/>
    <filterColumn colId="63"/>
    <filterColumn colId="64"/>
    <filterColumn colId="65"/>
    <filterColumn colId="66"/>
  </autoFilter>
  <tableColumns count="67">
    <tableColumn id="5" name="Nom planche" dataDxfId="65"/>
    <tableColumn id="1" name="Culture" dataDxfId="64"/>
    <tableColumn id="2" name="Variété" dataDxfId="63"/>
    <tableColumn id="4" name="L planche (m)" dataDxfId="62"/>
    <tableColumn id="22" name="Nb de lignes/pl." dataDxfId="61"/>
    <tableColumn id="71" name="Espct (cm)" dataDxfId="60"/>
    <tableColumn id="6" name="Qté graine (g)" dataDxfId="59"/>
    <tableColumn id="7" name="Qté Plants"/>
    <tableColumn id="9" name="Date semis" dataDxfId="58"/>
    <tableColumn id="12" name="Tps motte" dataDxfId="57">
      <calculatedColumnFormula>Table11[[#This Row],[Date plantation]]-Table11[[#This Row],[Date semis]]</calculatedColumnFormula>
    </tableColumn>
    <tableColumn id="13" name="Date plantation" dataDxfId="56"/>
    <tableColumn id="14" name="Tps croissance" dataDxfId="55">
      <calculatedColumnFormula>M2-I2</calculatedColumnFormula>
    </tableColumn>
    <tableColumn id="15" name="Début récolte" dataDxfId="54"/>
    <tableColumn id="3" name="Unité de production" dataDxfId="53"/>
    <tableColumn id="25" name="S13" dataDxfId="52"/>
    <tableColumn id="26" name="S14" dataDxfId="51"/>
    <tableColumn id="19" name="S15" dataDxfId="50"/>
    <tableColumn id="37" name="S16" dataDxfId="49"/>
    <tableColumn id="36" name="S17" dataDxfId="48"/>
    <tableColumn id="35" name="S18" dataDxfId="47"/>
    <tableColumn id="34" name="S19" dataDxfId="46"/>
    <tableColumn id="33" name="S20" dataDxfId="45"/>
    <tableColumn id="32" name="S21" dataDxfId="44"/>
    <tableColumn id="31" name="S22" dataDxfId="43"/>
    <tableColumn id="30" name="S23" dataDxfId="42"/>
    <tableColumn id="29" name="S24" dataDxfId="41"/>
    <tableColumn id="28" name="S25" dataDxfId="40"/>
    <tableColumn id="27" name="S26" dataDxfId="39"/>
    <tableColumn id="18" name="S27" dataDxfId="38"/>
    <tableColumn id="17" name="S28" dataDxfId="37"/>
    <tableColumn id="20" name="S29" dataDxfId="36"/>
    <tableColumn id="45" name="S30" dataDxfId="35"/>
    <tableColumn id="49" name="S31" dataDxfId="34"/>
    <tableColumn id="48" name="S32" dataDxfId="33"/>
    <tableColumn id="47" name="S33" dataDxfId="32"/>
    <tableColumn id="52" name="S34" dataDxfId="31"/>
    <tableColumn id="51" name="S35" dataDxfId="30"/>
    <tableColumn id="50" name="S36" dataDxfId="29"/>
    <tableColumn id="55" name="S37" dataDxfId="28"/>
    <tableColumn id="54" name="S38" dataDxfId="27"/>
    <tableColumn id="53" name="S39" dataDxfId="26"/>
    <tableColumn id="58" name="S40" dataDxfId="25"/>
    <tableColumn id="57" name="S41" dataDxfId="24"/>
    <tableColumn id="56" name="S42" dataDxfId="23"/>
    <tableColumn id="61" name="S43" dataDxfId="22"/>
    <tableColumn id="60" name="S44" dataDxfId="21"/>
    <tableColumn id="64" name="S45" dataDxfId="20"/>
    <tableColumn id="63" name="S46" dataDxfId="19"/>
    <tableColumn id="62" name="S47" dataDxfId="18"/>
    <tableColumn id="67" name="S48" dataDxfId="17"/>
    <tableColumn id="66" name="S49" dataDxfId="16"/>
    <tableColumn id="65" name="S50" dataDxfId="15"/>
    <tableColumn id="70" name="S51" dataDxfId="14"/>
    <tableColumn id="69" name="S52" dataDxfId="13"/>
    <tableColumn id="43" name="Fin récolte" dataDxfId="12"/>
    <tableColumn id="44" name="Tps Récole" dataDxfId="11">
      <calculatedColumnFormula>BC2-M2</calculatedColumnFormula>
    </tableColumn>
    <tableColumn id="46" name="Quantité récolté" dataDxfId="10">
      <calculatedColumnFormula>SUM(Table11[[#This Row],[S13]:[S52]])</calculatedColumnFormula>
    </tableColumn>
    <tableColumn id="10" name="Prix de vente Moy." dataDxfId="9"/>
    <tableColumn id="11" name="Surface cultivée (m²)" dataDxfId="8"/>
    <tableColumn id="23" name="Rendement" dataDxfId="7">
      <calculatedColumnFormula>Table11[[#This Row],[Quantité récolté]]*Table11[[#This Row],[Prix de vente Moy.]]/Table11[[#This Row],[Surface cultivée (m²)]]</calculatedColumnFormula>
    </tableColumn>
    <tableColumn id="16" name="Remarque" dataDxfId="6"/>
    <tableColumn id="42" name="Mars" dataDxfId="5"/>
    <tableColumn id="41" name="Avril" dataDxfId="4"/>
    <tableColumn id="40" name="Mai" dataDxfId="3"/>
    <tableColumn id="39" name="Column15" dataDxfId="2"/>
    <tableColumn id="38" name="Column14" dataDxfId="1"/>
    <tableColumn id="24" name="Mars2" dataDxfId="0"/>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I52"/>
  <sheetViews>
    <sheetView zoomScale="78" zoomScaleNormal="78" workbookViewId="0">
      <pane xSplit="1" ySplit="3" topLeftCell="B4" activePane="bottomRight" state="frozen"/>
      <selection pane="topRight" activeCell="B1" sqref="B1"/>
      <selection pane="bottomLeft" activeCell="A4" sqref="A4"/>
      <selection pane="bottomRight" activeCell="AH7" sqref="AH7"/>
    </sheetView>
  </sheetViews>
  <sheetFormatPr defaultRowHeight="15"/>
  <cols>
    <col min="1" max="1" width="37.42578125" customWidth="1"/>
    <col min="2" max="2" width="35" style="10" bestFit="1" customWidth="1"/>
    <col min="3" max="3" width="27.7109375" style="10" customWidth="1"/>
    <col min="4" max="4" width="30.85546875" style="10" bestFit="1" customWidth="1"/>
    <col min="5" max="5" width="40.42578125" style="10" bestFit="1" customWidth="1"/>
    <col min="6" max="6" width="30.7109375" style="10" bestFit="1" customWidth="1"/>
    <col min="7" max="7" width="31.85546875" style="10" bestFit="1" customWidth="1"/>
    <col min="8" max="8" width="34" style="10" bestFit="1" customWidth="1"/>
    <col min="9" max="16" width="28.28515625" style="10" customWidth="1"/>
    <col min="17" max="18" width="31.7109375" style="10" customWidth="1"/>
    <col min="19" max="19" width="41.28515625" style="33" customWidth="1"/>
    <col min="20" max="20" width="34.140625" style="10" customWidth="1"/>
    <col min="21" max="21" width="32.7109375" style="10" customWidth="1"/>
    <col min="22" max="22" width="39" style="10" bestFit="1" customWidth="1"/>
    <col min="23" max="24" width="32.7109375" style="10" customWidth="1"/>
    <col min="25" max="35" width="33.85546875" style="10" customWidth="1"/>
    <col min="36" max="44" width="21.42578125" customWidth="1"/>
    <col min="45" max="45" width="6.28515625" customWidth="1"/>
    <col min="46" max="46" width="10" customWidth="1"/>
    <col min="47" max="47" width="3.7109375" customWidth="1"/>
    <col min="48" max="48" width="15.85546875" customWidth="1"/>
    <col min="49" max="49" width="26.28515625" customWidth="1"/>
    <col min="50" max="50" width="7.28515625" customWidth="1"/>
    <col min="51" max="51" width="11.28515625" customWidth="1"/>
    <col min="52" max="52" width="9.28515625" bestFit="1" customWidth="1"/>
    <col min="53" max="53" width="10.140625" bestFit="1" customWidth="1"/>
    <col min="54" max="54" width="6.28515625" customWidth="1"/>
    <col min="55" max="55" width="9.28515625" bestFit="1" customWidth="1"/>
    <col min="56" max="56" width="8.42578125" customWidth="1"/>
    <col min="57" max="57" width="11.42578125" bestFit="1" customWidth="1"/>
    <col min="58" max="58" width="26.28515625" bestFit="1" customWidth="1"/>
    <col min="59" max="59" width="18.42578125" bestFit="1" customWidth="1"/>
    <col min="60" max="64" width="36.140625" bestFit="1" customWidth="1"/>
    <col min="65" max="65" width="12.140625" bestFit="1" customWidth="1"/>
    <col min="66" max="66" width="11.28515625" bestFit="1" customWidth="1"/>
  </cols>
  <sheetData>
    <row r="1" spans="1:35" s="14" customFormat="1" ht="35.25" customHeight="1">
      <c r="A1" s="13" t="s">
        <v>35</v>
      </c>
      <c r="B1" s="13" t="s">
        <v>413</v>
      </c>
      <c r="C1" s="13" t="s">
        <v>20</v>
      </c>
      <c r="D1" s="13" t="s">
        <v>37</v>
      </c>
      <c r="E1" s="13" t="s">
        <v>0</v>
      </c>
      <c r="F1" s="13" t="s">
        <v>52</v>
      </c>
      <c r="G1" s="13" t="s">
        <v>74</v>
      </c>
      <c r="H1" s="13" t="s">
        <v>146</v>
      </c>
      <c r="I1" s="13" t="s">
        <v>163</v>
      </c>
      <c r="J1" s="13" t="s">
        <v>176</v>
      </c>
      <c r="K1" s="13" t="s">
        <v>179</v>
      </c>
      <c r="L1" s="13" t="s">
        <v>181</v>
      </c>
      <c r="M1" s="13" t="s">
        <v>191</v>
      </c>
      <c r="N1" s="13" t="s">
        <v>204</v>
      </c>
      <c r="O1" s="13" t="s">
        <v>225</v>
      </c>
      <c r="P1" s="13" t="s">
        <v>238</v>
      </c>
      <c r="Q1" s="13" t="s">
        <v>250</v>
      </c>
      <c r="R1" s="13" t="s">
        <v>273</v>
      </c>
      <c r="S1" s="27" t="s">
        <v>423</v>
      </c>
      <c r="T1" s="13" t="s">
        <v>291</v>
      </c>
      <c r="U1" s="13" t="s">
        <v>301</v>
      </c>
      <c r="V1" s="13" t="s">
        <v>457</v>
      </c>
      <c r="W1" s="13" t="s">
        <v>320</v>
      </c>
      <c r="X1" s="13" t="s">
        <v>322</v>
      </c>
      <c r="Y1" s="13" t="s">
        <v>335</v>
      </c>
      <c r="Z1" s="13" t="s">
        <v>347</v>
      </c>
      <c r="AA1" s="13" t="s">
        <v>1001</v>
      </c>
      <c r="AB1" s="13" t="s">
        <v>360</v>
      </c>
      <c r="AC1" s="13" t="s">
        <v>445</v>
      </c>
      <c r="AD1" s="13" t="s">
        <v>371</v>
      </c>
      <c r="AE1" s="13" t="s">
        <v>372</v>
      </c>
      <c r="AF1" s="13" t="s">
        <v>373</v>
      </c>
      <c r="AG1" s="13" t="s">
        <v>374</v>
      </c>
    </row>
    <row r="2" spans="1:35">
      <c r="A2" s="8" t="s">
        <v>4</v>
      </c>
      <c r="B2" s="10" t="s">
        <v>414</v>
      </c>
      <c r="C2" s="10" t="s">
        <v>21</v>
      </c>
      <c r="D2" s="10" t="s">
        <v>46</v>
      </c>
      <c r="E2" s="10" t="s">
        <v>5</v>
      </c>
      <c r="F2" s="10" t="s">
        <v>53</v>
      </c>
      <c r="G2" s="10" t="s">
        <v>164</v>
      </c>
      <c r="H2" s="10" t="s">
        <v>147</v>
      </c>
      <c r="I2" s="10" t="s">
        <v>164</v>
      </c>
      <c r="J2" s="10" t="s">
        <v>164</v>
      </c>
      <c r="K2" s="10" t="s">
        <v>164</v>
      </c>
      <c r="L2" s="10" t="s">
        <v>164</v>
      </c>
      <c r="M2" s="10" t="s">
        <v>164</v>
      </c>
      <c r="N2" s="10" t="s">
        <v>205</v>
      </c>
      <c r="O2" s="10" t="s">
        <v>205</v>
      </c>
      <c r="P2" s="10" t="s">
        <v>205</v>
      </c>
      <c r="Q2" s="10" t="s">
        <v>254</v>
      </c>
      <c r="R2" s="10" t="s">
        <v>147</v>
      </c>
      <c r="S2" s="28" t="s">
        <v>286</v>
      </c>
      <c r="T2" s="10" t="s">
        <v>286</v>
      </c>
      <c r="U2" s="10" t="s">
        <v>303</v>
      </c>
      <c r="V2" s="10" t="s">
        <v>205</v>
      </c>
      <c r="W2" s="10" t="s">
        <v>164</v>
      </c>
      <c r="X2" s="10" t="s">
        <v>323</v>
      </c>
      <c r="Y2" s="10" t="s">
        <v>147</v>
      </c>
      <c r="Z2" s="10" t="s">
        <v>147</v>
      </c>
      <c r="AA2" s="10" t="s">
        <v>286</v>
      </c>
      <c r="AB2" s="10" t="s">
        <v>21</v>
      </c>
      <c r="AC2" s="10" t="s">
        <v>21</v>
      </c>
      <c r="AD2" s="10" t="s">
        <v>164</v>
      </c>
      <c r="AE2" s="10" t="s">
        <v>164</v>
      </c>
      <c r="AF2" s="10" t="s">
        <v>392</v>
      </c>
      <c r="AG2" s="10" t="s">
        <v>21</v>
      </c>
      <c r="AH2"/>
      <c r="AI2"/>
    </row>
    <row r="3" spans="1:35">
      <c r="A3" s="8" t="s">
        <v>56</v>
      </c>
      <c r="B3" s="10" t="s">
        <v>58</v>
      </c>
      <c r="C3" s="10" t="s">
        <v>57</v>
      </c>
      <c r="D3" s="10" t="s">
        <v>59</v>
      </c>
      <c r="E3" s="10" t="s">
        <v>58</v>
      </c>
      <c r="F3" s="10" t="s">
        <v>59</v>
      </c>
      <c r="G3" s="10" t="s">
        <v>130</v>
      </c>
      <c r="H3" s="10" t="s">
        <v>58</v>
      </c>
      <c r="I3" s="10" t="s">
        <v>59</v>
      </c>
      <c r="J3" s="10" t="s">
        <v>130</v>
      </c>
      <c r="K3" s="10" t="s">
        <v>130</v>
      </c>
      <c r="L3" s="10" t="s">
        <v>59</v>
      </c>
      <c r="M3" s="10" t="s">
        <v>58</v>
      </c>
      <c r="N3" s="10" t="s">
        <v>57</v>
      </c>
      <c r="O3" s="10" t="s">
        <v>57</v>
      </c>
      <c r="P3" s="10" t="s">
        <v>57</v>
      </c>
      <c r="Q3" s="10" t="s">
        <v>59</v>
      </c>
      <c r="S3" s="28"/>
      <c r="T3" s="10" t="s">
        <v>196</v>
      </c>
      <c r="U3" s="10" t="s">
        <v>304</v>
      </c>
      <c r="V3" s="10" t="s">
        <v>196</v>
      </c>
      <c r="X3" s="10" t="s">
        <v>325</v>
      </c>
      <c r="Y3" s="10" t="s">
        <v>336</v>
      </c>
      <c r="Z3" s="10" t="s">
        <v>357</v>
      </c>
      <c r="AB3" s="10" t="s">
        <v>196</v>
      </c>
      <c r="AC3" s="10" t="s">
        <v>448</v>
      </c>
      <c r="AD3" s="10" t="s">
        <v>196</v>
      </c>
      <c r="AE3" s="10" t="s">
        <v>196</v>
      </c>
      <c r="AF3" s="10" t="s">
        <v>196</v>
      </c>
      <c r="AG3" s="10" t="s">
        <v>196</v>
      </c>
      <c r="AH3"/>
      <c r="AI3"/>
    </row>
    <row r="4" spans="1:35">
      <c r="A4" s="8" t="s">
        <v>148</v>
      </c>
      <c r="C4" s="10" t="s">
        <v>120</v>
      </c>
      <c r="D4" s="10" t="s">
        <v>121</v>
      </c>
      <c r="E4" s="10" t="s">
        <v>119</v>
      </c>
      <c r="F4" s="10" t="s">
        <v>119</v>
      </c>
      <c r="G4" s="10" t="s">
        <v>128</v>
      </c>
      <c r="H4" s="10" t="s">
        <v>119</v>
      </c>
      <c r="I4" s="10" t="s">
        <v>178</v>
      </c>
      <c r="J4" s="10" t="s">
        <v>178</v>
      </c>
      <c r="K4" s="10" t="s">
        <v>178</v>
      </c>
      <c r="L4" s="10" t="s">
        <v>178</v>
      </c>
      <c r="M4" s="10" t="s">
        <v>196</v>
      </c>
      <c r="N4" s="10" t="s">
        <v>196</v>
      </c>
      <c r="O4" s="10" t="s">
        <v>196</v>
      </c>
      <c r="P4" s="10" t="s">
        <v>196</v>
      </c>
      <c r="Q4" s="10" t="s">
        <v>196</v>
      </c>
      <c r="S4" s="28" t="s">
        <v>57</v>
      </c>
      <c r="T4" s="10" t="s">
        <v>57</v>
      </c>
      <c r="U4" s="10" t="s">
        <v>59</v>
      </c>
      <c r="V4" s="10" t="s">
        <v>57</v>
      </c>
      <c r="W4" s="10" t="s">
        <v>58</v>
      </c>
      <c r="X4" s="10" t="s">
        <v>58</v>
      </c>
      <c r="Y4" s="10" t="s">
        <v>58</v>
      </c>
      <c r="Z4" s="10" t="s">
        <v>59</v>
      </c>
      <c r="AB4" s="10" t="s">
        <v>57</v>
      </c>
      <c r="AC4" s="10" t="s">
        <v>447</v>
      </c>
      <c r="AD4" s="10" t="s">
        <v>58</v>
      </c>
      <c r="AE4" s="10" t="s">
        <v>58</v>
      </c>
      <c r="AF4" s="10" t="s">
        <v>59</v>
      </c>
      <c r="AG4" s="10" t="s">
        <v>57</v>
      </c>
      <c r="AH4"/>
      <c r="AI4"/>
    </row>
    <row r="5" spans="1:35" s="17" customFormat="1" ht="60">
      <c r="A5" s="29" t="s">
        <v>258</v>
      </c>
      <c r="B5" s="7"/>
      <c r="C5" s="7" t="s">
        <v>260</v>
      </c>
      <c r="D5" s="7"/>
      <c r="E5" s="7"/>
      <c r="F5" s="7"/>
      <c r="G5" s="7"/>
      <c r="H5" s="7" t="s">
        <v>337</v>
      </c>
      <c r="I5" s="7"/>
      <c r="J5" s="7"/>
      <c r="K5" s="7"/>
      <c r="L5" s="7"/>
      <c r="M5" s="7"/>
      <c r="N5" s="7"/>
      <c r="O5" s="7"/>
      <c r="P5" s="7"/>
      <c r="Q5" s="7" t="s">
        <v>261</v>
      </c>
      <c r="R5" s="7" t="s">
        <v>278</v>
      </c>
      <c r="S5" s="30" t="s">
        <v>424</v>
      </c>
      <c r="T5" s="7" t="s">
        <v>295</v>
      </c>
      <c r="U5" s="7" t="s">
        <v>305</v>
      </c>
      <c r="V5" s="7" t="s">
        <v>458</v>
      </c>
      <c r="W5" s="7"/>
      <c r="X5" s="7" t="s">
        <v>324</v>
      </c>
      <c r="Y5" s="7" t="s">
        <v>337</v>
      </c>
      <c r="Z5" s="7" t="s">
        <v>351</v>
      </c>
      <c r="AA5" s="7"/>
      <c r="AB5" s="7" t="s">
        <v>361</v>
      </c>
      <c r="AC5" s="7" t="s">
        <v>446</v>
      </c>
      <c r="AD5" s="7" t="s">
        <v>376</v>
      </c>
      <c r="AE5" s="7" t="s">
        <v>376</v>
      </c>
      <c r="AF5" s="7" t="s">
        <v>390</v>
      </c>
      <c r="AG5" s="7" t="s">
        <v>401</v>
      </c>
    </row>
    <row r="6" spans="1:35">
      <c r="A6" s="8" t="s">
        <v>259</v>
      </c>
      <c r="Q6" s="10" t="s">
        <v>262</v>
      </c>
      <c r="R6" s="10" t="s">
        <v>95</v>
      </c>
      <c r="S6" s="28" t="s">
        <v>425</v>
      </c>
      <c r="T6" s="10" t="s">
        <v>95</v>
      </c>
      <c r="U6" s="10" t="s">
        <v>313</v>
      </c>
      <c r="Y6" s="10" t="s">
        <v>341</v>
      </c>
      <c r="Z6" s="10" t="s">
        <v>95</v>
      </c>
      <c r="AA6" s="10" t="s">
        <v>95</v>
      </c>
      <c r="AB6" s="10" t="s">
        <v>334</v>
      </c>
      <c r="AC6" s="10" t="s">
        <v>341</v>
      </c>
      <c r="AD6" s="10" t="s">
        <v>334</v>
      </c>
      <c r="AE6" s="10" t="s">
        <v>334</v>
      </c>
      <c r="AF6" s="10" t="s">
        <v>394</v>
      </c>
      <c r="AH6"/>
      <c r="AI6"/>
    </row>
    <row r="7" spans="1:35" s="98" customFormat="1" ht="150">
      <c r="A7" s="9" t="s">
        <v>6</v>
      </c>
      <c r="B7" s="98" t="s">
        <v>432</v>
      </c>
      <c r="C7" s="98" t="s">
        <v>81</v>
      </c>
      <c r="D7" s="98" t="s">
        <v>89</v>
      </c>
      <c r="E7" s="98" t="s">
        <v>102</v>
      </c>
      <c r="F7" s="98" t="s">
        <v>60</v>
      </c>
      <c r="G7" s="98" t="s">
        <v>135</v>
      </c>
      <c r="H7" s="98" t="s">
        <v>156</v>
      </c>
      <c r="I7" s="98" t="s">
        <v>169</v>
      </c>
      <c r="J7" s="98" t="s">
        <v>169</v>
      </c>
      <c r="K7" s="98" t="s">
        <v>169</v>
      </c>
      <c r="L7" s="98" t="s">
        <v>169</v>
      </c>
      <c r="M7" s="98" t="s">
        <v>169</v>
      </c>
      <c r="N7" s="98" t="s">
        <v>217</v>
      </c>
      <c r="O7" s="98" t="s">
        <v>233</v>
      </c>
      <c r="P7" s="98" t="s">
        <v>246</v>
      </c>
      <c r="Q7" s="98" t="s">
        <v>266</v>
      </c>
      <c r="S7" s="99" t="s">
        <v>1002</v>
      </c>
      <c r="T7" s="98" t="s">
        <v>299</v>
      </c>
      <c r="U7" s="98" t="s">
        <v>316</v>
      </c>
      <c r="V7" s="98" t="s">
        <v>468</v>
      </c>
      <c r="X7" s="98" t="s">
        <v>331</v>
      </c>
      <c r="Y7" s="98" t="s">
        <v>345</v>
      </c>
      <c r="Z7" s="98" t="s">
        <v>354</v>
      </c>
      <c r="AA7" s="98" t="s">
        <v>443</v>
      </c>
      <c r="AB7" s="98" t="s">
        <v>369</v>
      </c>
      <c r="AC7" s="98" t="s">
        <v>453</v>
      </c>
      <c r="AD7" s="98" t="s">
        <v>380</v>
      </c>
      <c r="AE7" s="98" t="s">
        <v>380</v>
      </c>
      <c r="AF7" s="98" t="s">
        <v>397</v>
      </c>
      <c r="AG7" s="98" t="s">
        <v>410</v>
      </c>
    </row>
    <row r="8" spans="1:35" s="7" customFormat="1" ht="180">
      <c r="A8" s="9" t="s">
        <v>7</v>
      </c>
      <c r="B8" s="7" t="s">
        <v>431</v>
      </c>
      <c r="C8" s="7" t="s">
        <v>82</v>
      </c>
      <c r="D8" s="7" t="s">
        <v>47</v>
      </c>
      <c r="E8" s="7" t="s">
        <v>103</v>
      </c>
      <c r="F8" s="7" t="s">
        <v>61</v>
      </c>
      <c r="G8" s="7" t="s">
        <v>136</v>
      </c>
      <c r="H8" s="7" t="s">
        <v>157</v>
      </c>
      <c r="I8" s="7" t="s">
        <v>170</v>
      </c>
      <c r="J8" s="7" t="s">
        <v>170</v>
      </c>
      <c r="K8" s="7" t="s">
        <v>170</v>
      </c>
      <c r="L8" s="7" t="s">
        <v>170</v>
      </c>
      <c r="M8" s="7" t="s">
        <v>170</v>
      </c>
      <c r="N8" s="7" t="s">
        <v>218</v>
      </c>
      <c r="O8" s="7" t="s">
        <v>234</v>
      </c>
      <c r="P8" s="7" t="s">
        <v>247</v>
      </c>
      <c r="Q8" s="7" t="s">
        <v>267</v>
      </c>
      <c r="R8" s="7" t="s">
        <v>281</v>
      </c>
      <c r="S8" s="30" t="s">
        <v>437</v>
      </c>
      <c r="T8" s="7" t="s">
        <v>300</v>
      </c>
      <c r="U8" s="7" t="s">
        <v>317</v>
      </c>
      <c r="V8" s="18" t="s">
        <v>467</v>
      </c>
      <c r="X8" s="7" t="s">
        <v>332</v>
      </c>
      <c r="Y8" s="7" t="s">
        <v>346</v>
      </c>
      <c r="Z8" s="19" t="s">
        <v>355</v>
      </c>
      <c r="AA8" s="19" t="s">
        <v>444</v>
      </c>
      <c r="AB8" s="19" t="s">
        <v>370</v>
      </c>
      <c r="AC8" s="19" t="s">
        <v>454</v>
      </c>
      <c r="AD8" s="19" t="s">
        <v>381</v>
      </c>
      <c r="AE8" s="19" t="s">
        <v>381</v>
      </c>
      <c r="AF8" s="19" t="s">
        <v>398</v>
      </c>
      <c r="AG8" s="19" t="s">
        <v>411</v>
      </c>
    </row>
    <row r="9" spans="1:35" s="7" customFormat="1" ht="45">
      <c r="A9" s="9" t="s">
        <v>94</v>
      </c>
      <c r="B9" s="10" t="s">
        <v>95</v>
      </c>
      <c r="C9" s="10" t="s">
        <v>95</v>
      </c>
      <c r="E9" s="7" t="s">
        <v>96</v>
      </c>
      <c r="G9" s="7" t="s">
        <v>137</v>
      </c>
      <c r="H9" s="7" t="s">
        <v>172</v>
      </c>
      <c r="I9" s="7" t="s">
        <v>171</v>
      </c>
      <c r="J9" s="7" t="s">
        <v>180</v>
      </c>
      <c r="K9" s="7" t="s">
        <v>180</v>
      </c>
      <c r="L9" s="7" t="s">
        <v>187</v>
      </c>
      <c r="M9" s="7" t="s">
        <v>198</v>
      </c>
      <c r="N9" s="7" t="s">
        <v>219</v>
      </c>
      <c r="O9" s="7" t="s">
        <v>198</v>
      </c>
      <c r="P9" s="7" t="s">
        <v>248</v>
      </c>
      <c r="Q9" s="7" t="s">
        <v>268</v>
      </c>
      <c r="R9" s="7" t="s">
        <v>282</v>
      </c>
      <c r="S9" s="30" t="s">
        <v>95</v>
      </c>
      <c r="T9" s="7" t="s">
        <v>289</v>
      </c>
      <c r="U9" s="7" t="s">
        <v>318</v>
      </c>
      <c r="V9" s="7" t="s">
        <v>262</v>
      </c>
      <c r="X9" s="7" t="s">
        <v>334</v>
      </c>
      <c r="Y9" s="7" t="s">
        <v>340</v>
      </c>
      <c r="AB9" s="7" t="s">
        <v>334</v>
      </c>
      <c r="AC9" s="7" t="s">
        <v>95</v>
      </c>
      <c r="AD9" s="7" t="s">
        <v>382</v>
      </c>
      <c r="AE9" s="7" t="s">
        <v>334</v>
      </c>
      <c r="AF9" s="7" t="s">
        <v>391</v>
      </c>
      <c r="AG9" s="7" t="s">
        <v>412</v>
      </c>
    </row>
    <row r="10" spans="1:35" s="7" customFormat="1" ht="75">
      <c r="A10" s="9" t="s">
        <v>62</v>
      </c>
      <c r="B10" s="7" t="s">
        <v>421</v>
      </c>
      <c r="C10" s="7" t="s">
        <v>79</v>
      </c>
      <c r="D10" s="7" t="s">
        <v>88</v>
      </c>
      <c r="E10" s="7" t="s">
        <v>100</v>
      </c>
      <c r="F10" s="7" t="s">
        <v>63</v>
      </c>
      <c r="G10" s="7" t="s">
        <v>133</v>
      </c>
      <c r="H10" s="7" t="s">
        <v>154</v>
      </c>
      <c r="I10" s="7" t="s">
        <v>168</v>
      </c>
      <c r="J10" s="7" t="s">
        <v>133</v>
      </c>
      <c r="K10" s="7" t="s">
        <v>133</v>
      </c>
      <c r="L10" s="7" t="s">
        <v>168</v>
      </c>
      <c r="M10" s="7" t="s">
        <v>134</v>
      </c>
      <c r="N10" s="7" t="s">
        <v>215</v>
      </c>
      <c r="O10" s="7" t="s">
        <v>231</v>
      </c>
      <c r="P10" s="7" t="s">
        <v>244</v>
      </c>
      <c r="Q10" s="7" t="s">
        <v>263</v>
      </c>
      <c r="R10" s="7" t="s">
        <v>279</v>
      </c>
      <c r="S10" s="30" t="s">
        <v>435</v>
      </c>
      <c r="T10" s="7" t="s">
        <v>297</v>
      </c>
      <c r="U10" s="7" t="s">
        <v>314</v>
      </c>
      <c r="V10" s="10" t="s">
        <v>466</v>
      </c>
      <c r="X10" s="7" t="s">
        <v>329</v>
      </c>
      <c r="Y10" s="7" t="s">
        <v>343</v>
      </c>
      <c r="Z10" s="7" t="s">
        <v>352</v>
      </c>
      <c r="AA10" s="7" t="s">
        <v>441</v>
      </c>
      <c r="AB10" s="7" t="s">
        <v>367</v>
      </c>
      <c r="AC10" s="7" t="s">
        <v>451</v>
      </c>
      <c r="AD10" s="7" t="s">
        <v>378</v>
      </c>
      <c r="AE10" s="7" t="s">
        <v>378</v>
      </c>
      <c r="AF10" s="7" t="s">
        <v>395</v>
      </c>
      <c r="AG10" s="7" t="s">
        <v>408</v>
      </c>
    </row>
    <row r="11" spans="1:35" s="7" customFormat="1" ht="90">
      <c r="A11" s="9" t="s">
        <v>64</v>
      </c>
      <c r="B11" s="7" t="s">
        <v>420</v>
      </c>
      <c r="C11" s="7" t="s">
        <v>80</v>
      </c>
      <c r="D11" s="7" t="s">
        <v>87</v>
      </c>
      <c r="E11" s="7" t="s">
        <v>101</v>
      </c>
      <c r="F11" s="7" t="s">
        <v>65</v>
      </c>
      <c r="G11" s="7" t="s">
        <v>134</v>
      </c>
      <c r="H11" s="7" t="s">
        <v>155</v>
      </c>
      <c r="I11" s="7" t="s">
        <v>134</v>
      </c>
      <c r="J11" s="7" t="s">
        <v>134</v>
      </c>
      <c r="K11" s="7" t="s">
        <v>134</v>
      </c>
      <c r="L11" s="7" t="s">
        <v>134</v>
      </c>
      <c r="N11" s="7" t="s">
        <v>216</v>
      </c>
      <c r="O11" s="7" t="s">
        <v>232</v>
      </c>
      <c r="P11" s="7" t="s">
        <v>245</v>
      </c>
      <c r="Q11" s="7" t="s">
        <v>264</v>
      </c>
      <c r="R11" s="7" t="s">
        <v>280</v>
      </c>
      <c r="S11" s="30" t="s">
        <v>436</v>
      </c>
      <c r="T11" s="7" t="s">
        <v>298</v>
      </c>
      <c r="U11" s="7" t="s">
        <v>315</v>
      </c>
      <c r="V11" s="7" t="s">
        <v>465</v>
      </c>
      <c r="X11" s="7" t="s">
        <v>330</v>
      </c>
      <c r="Y11" s="7" t="s">
        <v>344</v>
      </c>
      <c r="Z11" s="7" t="s">
        <v>353</v>
      </c>
      <c r="AA11" s="7" t="s">
        <v>442</v>
      </c>
      <c r="AB11" s="7" t="s">
        <v>368</v>
      </c>
      <c r="AC11" s="7" t="s">
        <v>452</v>
      </c>
      <c r="AD11" s="7" t="s">
        <v>379</v>
      </c>
      <c r="AE11" s="7" t="s">
        <v>379</v>
      </c>
      <c r="AF11" s="7" t="s">
        <v>396</v>
      </c>
      <c r="AG11" s="7" t="s">
        <v>409</v>
      </c>
    </row>
    <row r="12" spans="1:35" s="7" customFormat="1" ht="30">
      <c r="A12" s="9" t="s">
        <v>8</v>
      </c>
      <c r="C12" s="7" t="s">
        <v>145</v>
      </c>
      <c r="D12" s="7" t="s">
        <v>85</v>
      </c>
      <c r="E12" s="7" t="s">
        <v>97</v>
      </c>
      <c r="F12" s="7" t="s">
        <v>72</v>
      </c>
      <c r="G12" s="7" t="s">
        <v>129</v>
      </c>
      <c r="H12" s="7" t="s">
        <v>162</v>
      </c>
      <c r="I12" s="7" t="s">
        <v>175</v>
      </c>
      <c r="J12" s="7" t="s">
        <v>177</v>
      </c>
      <c r="K12" s="7" t="s">
        <v>177</v>
      </c>
      <c r="L12" s="7" t="s">
        <v>184</v>
      </c>
      <c r="M12" s="7" t="s">
        <v>203</v>
      </c>
      <c r="N12" s="7" t="s">
        <v>213</v>
      </c>
      <c r="O12" s="7" t="s">
        <v>226</v>
      </c>
      <c r="P12" s="7" t="s">
        <v>239</v>
      </c>
      <c r="Q12" s="7" t="s">
        <v>272</v>
      </c>
      <c r="R12" s="7" t="s">
        <v>285</v>
      </c>
      <c r="S12" s="30" t="s">
        <v>433</v>
      </c>
      <c r="T12" s="7" t="s">
        <v>292</v>
      </c>
      <c r="U12" s="7" t="s">
        <v>302</v>
      </c>
      <c r="W12" s="7" t="s">
        <v>321</v>
      </c>
      <c r="Z12" s="7" t="s">
        <v>358</v>
      </c>
      <c r="AB12" s="7" t="s">
        <v>363</v>
      </c>
      <c r="AC12" s="7" t="s">
        <v>456</v>
      </c>
      <c r="AD12" s="7" t="s">
        <v>285</v>
      </c>
      <c r="AE12" s="7" t="s">
        <v>385</v>
      </c>
      <c r="AG12" s="7" t="s">
        <v>402</v>
      </c>
    </row>
    <row r="13" spans="1:35" s="7" customFormat="1" ht="30">
      <c r="A13" s="9" t="s">
        <v>9</v>
      </c>
      <c r="C13" s="7" t="s">
        <v>144</v>
      </c>
      <c r="E13" s="7" t="s">
        <v>10</v>
      </c>
      <c r="F13" s="7" t="s">
        <v>190</v>
      </c>
      <c r="G13" s="7" t="s">
        <v>189</v>
      </c>
      <c r="R13" s="7" t="s">
        <v>284</v>
      </c>
      <c r="S13" s="30"/>
    </row>
    <row r="14" spans="1:35" s="16" customFormat="1" ht="24.75" customHeight="1">
      <c r="A14" s="15" t="s">
        <v>11</v>
      </c>
      <c r="B14" s="7" t="s">
        <v>12</v>
      </c>
      <c r="C14" s="7" t="s">
        <v>36</v>
      </c>
      <c r="D14" s="7"/>
      <c r="E14" s="7" t="s">
        <v>12</v>
      </c>
      <c r="F14" s="7" t="s">
        <v>73</v>
      </c>
      <c r="G14" s="7" t="s">
        <v>138</v>
      </c>
      <c r="H14" s="7" t="s">
        <v>152</v>
      </c>
      <c r="I14" s="7" t="s">
        <v>138</v>
      </c>
      <c r="J14" s="7" t="s">
        <v>138</v>
      </c>
      <c r="K14" s="7" t="s">
        <v>138</v>
      </c>
      <c r="L14" s="7" t="s">
        <v>138</v>
      </c>
      <c r="M14" s="7" t="s">
        <v>138</v>
      </c>
      <c r="N14" s="7" t="s">
        <v>209</v>
      </c>
      <c r="O14" s="7" t="s">
        <v>38</v>
      </c>
      <c r="P14" s="7" t="s">
        <v>242</v>
      </c>
      <c r="Q14" s="7" t="s">
        <v>256</v>
      </c>
      <c r="R14" s="7" t="s">
        <v>73</v>
      </c>
      <c r="S14" s="30" t="s">
        <v>427</v>
      </c>
      <c r="T14" s="7" t="s">
        <v>294</v>
      </c>
      <c r="U14" s="7" t="s">
        <v>309</v>
      </c>
      <c r="V14" s="7" t="s">
        <v>464</v>
      </c>
      <c r="W14" s="7"/>
      <c r="X14" s="7"/>
      <c r="Y14" s="7"/>
      <c r="Z14" s="7" t="s">
        <v>73</v>
      </c>
      <c r="AA14" s="7"/>
      <c r="AB14" s="7" t="s">
        <v>73</v>
      </c>
      <c r="AC14" s="7" t="s">
        <v>73</v>
      </c>
      <c r="AD14" s="7" t="s">
        <v>152</v>
      </c>
      <c r="AE14" s="7" t="s">
        <v>73</v>
      </c>
      <c r="AF14" s="7" t="s">
        <v>152</v>
      </c>
      <c r="AG14" s="7" t="s">
        <v>404</v>
      </c>
    </row>
    <row r="15" spans="1:35" ht="24.75" customHeight="1">
      <c r="A15" s="8" t="s">
        <v>84</v>
      </c>
      <c r="B15" s="10" t="s">
        <v>43</v>
      </c>
      <c r="C15" s="10" t="s">
        <v>40</v>
      </c>
      <c r="D15" s="10" t="s">
        <v>42</v>
      </c>
      <c r="E15" s="10" t="s">
        <v>43</v>
      </c>
      <c r="G15" s="10" t="s">
        <v>42</v>
      </c>
      <c r="H15" s="10" t="s">
        <v>43</v>
      </c>
      <c r="I15" s="10" t="s">
        <v>41</v>
      </c>
      <c r="J15" s="10" t="s">
        <v>42</v>
      </c>
      <c r="K15" s="10" t="s">
        <v>42</v>
      </c>
      <c r="L15" s="10" t="s">
        <v>41</v>
      </c>
      <c r="M15" s="10" t="s">
        <v>43</v>
      </c>
      <c r="N15" s="10" t="s">
        <v>40</v>
      </c>
      <c r="O15" s="10" t="s">
        <v>40</v>
      </c>
      <c r="P15" s="10" t="s">
        <v>40</v>
      </c>
      <c r="Q15" s="10" t="s">
        <v>41</v>
      </c>
      <c r="S15" s="28" t="s">
        <v>42</v>
      </c>
      <c r="T15" s="10" t="s">
        <v>40</v>
      </c>
      <c r="U15" s="10" t="s">
        <v>41</v>
      </c>
      <c r="V15" s="10" t="s">
        <v>40</v>
      </c>
      <c r="W15" s="10" t="s">
        <v>43</v>
      </c>
      <c r="X15" s="10" t="s">
        <v>43</v>
      </c>
      <c r="Y15" s="10" t="s">
        <v>43</v>
      </c>
      <c r="Z15" s="10" t="s">
        <v>41</v>
      </c>
      <c r="AA15" s="10" t="s">
        <v>40</v>
      </c>
      <c r="AB15" s="10" t="s">
        <v>40</v>
      </c>
      <c r="AC15" s="10" t="s">
        <v>43</v>
      </c>
      <c r="AD15" s="10" t="s">
        <v>43</v>
      </c>
      <c r="AE15" s="10" t="s">
        <v>43</v>
      </c>
      <c r="AF15" s="10" t="s">
        <v>41</v>
      </c>
      <c r="AG15" s="10" t="s">
        <v>40</v>
      </c>
      <c r="AH15"/>
      <c r="AI15"/>
    </row>
    <row r="16" spans="1:35" ht="24.75" customHeight="1">
      <c r="A16" s="8" t="s">
        <v>54</v>
      </c>
      <c r="B16" s="10" t="s">
        <v>90</v>
      </c>
      <c r="C16" s="10" t="s">
        <v>83</v>
      </c>
      <c r="D16" s="10" t="s">
        <v>90</v>
      </c>
      <c r="E16" s="10" t="s">
        <v>104</v>
      </c>
      <c r="F16" s="10" t="s">
        <v>55</v>
      </c>
      <c r="G16" s="10" t="s">
        <v>139</v>
      </c>
      <c r="H16" s="10" t="s">
        <v>158</v>
      </c>
      <c r="I16" s="10" t="s">
        <v>139</v>
      </c>
      <c r="J16" s="10" t="s">
        <v>139</v>
      </c>
      <c r="K16" s="10" t="s">
        <v>139</v>
      </c>
      <c r="L16" s="10" t="s">
        <v>139</v>
      </c>
      <c r="M16" s="10" t="s">
        <v>199</v>
      </c>
      <c r="N16" s="10" t="s">
        <v>158</v>
      </c>
      <c r="O16" s="10" t="s">
        <v>55</v>
      </c>
      <c r="P16" s="10" t="s">
        <v>55</v>
      </c>
      <c r="Q16" s="10" t="s">
        <v>269</v>
      </c>
      <c r="S16" s="28"/>
      <c r="T16" s="10" t="s">
        <v>199</v>
      </c>
      <c r="U16" s="10" t="s">
        <v>269</v>
      </c>
      <c r="V16" s="10" t="s">
        <v>55</v>
      </c>
      <c r="Y16" s="10" t="s">
        <v>158</v>
      </c>
      <c r="Z16" s="10" t="s">
        <v>83</v>
      </c>
      <c r="AA16" s="10" t="s">
        <v>104</v>
      </c>
      <c r="AB16" s="10" t="s">
        <v>83</v>
      </c>
      <c r="AC16" s="10" t="s">
        <v>158</v>
      </c>
      <c r="AD16" s="10" t="s">
        <v>90</v>
      </c>
      <c r="AE16" s="10" t="s">
        <v>90</v>
      </c>
      <c r="AF16" s="10" t="s">
        <v>139</v>
      </c>
      <c r="AG16" s="10" t="s">
        <v>407</v>
      </c>
      <c r="AH16"/>
      <c r="AI16"/>
    </row>
    <row r="17" spans="1:35" ht="24.75" customHeight="1">
      <c r="A17" s="8" t="s">
        <v>91</v>
      </c>
      <c r="B17" s="10" t="s">
        <v>105</v>
      </c>
      <c r="C17" s="10" t="s">
        <v>93</v>
      </c>
      <c r="D17" s="10" t="s">
        <v>92</v>
      </c>
      <c r="E17" s="10" t="s">
        <v>105</v>
      </c>
      <c r="G17" s="10" t="s">
        <v>141</v>
      </c>
      <c r="H17" s="10" t="s">
        <v>159</v>
      </c>
      <c r="I17" s="10" t="s">
        <v>173</v>
      </c>
      <c r="J17" s="10" t="s">
        <v>141</v>
      </c>
      <c r="K17" s="10" t="s">
        <v>141</v>
      </c>
      <c r="L17" s="10" t="s">
        <v>173</v>
      </c>
      <c r="M17" s="10" t="s">
        <v>200</v>
      </c>
      <c r="N17" s="10" t="s">
        <v>220</v>
      </c>
      <c r="O17" s="10" t="s">
        <v>235</v>
      </c>
      <c r="P17" s="10" t="s">
        <v>235</v>
      </c>
      <c r="Q17" s="10" t="s">
        <v>270</v>
      </c>
      <c r="S17" s="28"/>
      <c r="T17" s="10" t="s">
        <v>235</v>
      </c>
      <c r="U17" s="10" t="s">
        <v>270</v>
      </c>
      <c r="V17" s="10" t="s">
        <v>93</v>
      </c>
      <c r="W17" s="10" t="s">
        <v>105</v>
      </c>
      <c r="Y17" s="10" t="s">
        <v>105</v>
      </c>
      <c r="Z17" s="10" t="s">
        <v>270</v>
      </c>
      <c r="AA17" s="10" t="s">
        <v>93</v>
      </c>
      <c r="AB17" s="10" t="s">
        <v>93</v>
      </c>
      <c r="AC17" s="10" t="s">
        <v>105</v>
      </c>
      <c r="AD17" s="10" t="s">
        <v>105</v>
      </c>
      <c r="AE17" s="10" t="s">
        <v>105</v>
      </c>
      <c r="AF17" s="10" t="s">
        <v>270</v>
      </c>
      <c r="AG17" s="10" t="s">
        <v>93</v>
      </c>
      <c r="AH17"/>
      <c r="AI17"/>
    </row>
    <row r="18" spans="1:35" ht="24.75" customHeight="1">
      <c r="A18" s="8" t="s">
        <v>108</v>
      </c>
      <c r="B18" s="10" t="s">
        <v>114</v>
      </c>
      <c r="C18" s="10" t="s">
        <v>111</v>
      </c>
      <c r="D18" s="10" t="s">
        <v>111</v>
      </c>
      <c r="E18" s="10" t="s">
        <v>109</v>
      </c>
      <c r="G18" s="10" t="s">
        <v>140</v>
      </c>
      <c r="H18" s="10" t="s">
        <v>140</v>
      </c>
      <c r="I18" s="10" t="s">
        <v>140</v>
      </c>
      <c r="J18" s="10" t="s">
        <v>140</v>
      </c>
      <c r="K18" s="10" t="s">
        <v>140</v>
      </c>
      <c r="L18" s="10" t="s">
        <v>140</v>
      </c>
      <c r="M18" s="10" t="s">
        <v>201</v>
      </c>
      <c r="N18" s="10" t="s">
        <v>140</v>
      </c>
      <c r="O18" s="10" t="s">
        <v>140</v>
      </c>
      <c r="P18" s="10" t="s">
        <v>140</v>
      </c>
      <c r="Q18" s="10" t="s">
        <v>140</v>
      </c>
      <c r="S18" s="28" t="s">
        <v>140</v>
      </c>
      <c r="T18" s="10" t="s">
        <v>140</v>
      </c>
      <c r="U18" s="10" t="s">
        <v>140</v>
      </c>
      <c r="V18" s="10" t="s">
        <v>140</v>
      </c>
      <c r="W18" s="10" t="s">
        <v>109</v>
      </c>
      <c r="X18" s="10" t="s">
        <v>201</v>
      </c>
      <c r="Y18" s="10" t="s">
        <v>201</v>
      </c>
      <c r="Z18" s="10" t="s">
        <v>140</v>
      </c>
      <c r="AA18" s="10" t="s">
        <v>140</v>
      </c>
      <c r="AB18" s="10" t="s">
        <v>111</v>
      </c>
      <c r="AC18" s="10" t="s">
        <v>455</v>
      </c>
      <c r="AD18" s="10" t="s">
        <v>201</v>
      </c>
      <c r="AE18" s="10" t="s">
        <v>201</v>
      </c>
      <c r="AF18" s="10" t="s">
        <v>140</v>
      </c>
      <c r="AG18" s="10" t="s">
        <v>111</v>
      </c>
      <c r="AH18"/>
      <c r="AI18"/>
    </row>
    <row r="19" spans="1:35" ht="24.75" customHeight="1">
      <c r="A19" s="8" t="s">
        <v>115</v>
      </c>
      <c r="D19" s="10" t="s">
        <v>118</v>
      </c>
      <c r="S19" s="28"/>
      <c r="V19" s="10" t="s">
        <v>93</v>
      </c>
      <c r="Z19" s="10" t="s">
        <v>356</v>
      </c>
      <c r="AF19" s="10" t="s">
        <v>356</v>
      </c>
      <c r="AH19"/>
      <c r="AI19"/>
    </row>
    <row r="20" spans="1:35" ht="24.75" customHeight="1">
      <c r="A20" s="8" t="s">
        <v>116</v>
      </c>
      <c r="C20" s="10" t="s">
        <v>113</v>
      </c>
      <c r="D20" s="10" t="s">
        <v>117</v>
      </c>
      <c r="G20" s="10" t="s">
        <v>117</v>
      </c>
      <c r="I20" s="10" t="s">
        <v>117</v>
      </c>
      <c r="J20" s="10" t="s">
        <v>117</v>
      </c>
      <c r="K20" s="10" t="s">
        <v>117</v>
      </c>
      <c r="L20" s="10" t="s">
        <v>117</v>
      </c>
      <c r="M20" s="10" t="s">
        <v>117</v>
      </c>
      <c r="N20" s="10" t="s">
        <v>221</v>
      </c>
      <c r="P20" s="10" t="s">
        <v>117</v>
      </c>
      <c r="Q20" s="10" t="s">
        <v>117</v>
      </c>
      <c r="S20" s="28"/>
      <c r="U20" s="10" t="s">
        <v>117</v>
      </c>
      <c r="V20" s="10" t="s">
        <v>117</v>
      </c>
      <c r="Z20" s="10" t="s">
        <v>117</v>
      </c>
      <c r="AB20" s="10" t="s">
        <v>113</v>
      </c>
      <c r="AF20" s="10" t="s">
        <v>117</v>
      </c>
      <c r="AG20" s="10" t="s">
        <v>113</v>
      </c>
      <c r="AH20"/>
      <c r="AI20"/>
    </row>
    <row r="21" spans="1:35" ht="24.75" customHeight="1">
      <c r="A21" s="8" t="s">
        <v>112</v>
      </c>
      <c r="C21" s="10" t="s">
        <v>113</v>
      </c>
      <c r="E21" s="10" t="s">
        <v>29</v>
      </c>
      <c r="F21" s="10" t="s">
        <v>29</v>
      </c>
      <c r="G21" s="10" t="s">
        <v>29</v>
      </c>
      <c r="I21" s="10" t="s">
        <v>29</v>
      </c>
      <c r="J21" s="10" t="s">
        <v>29</v>
      </c>
      <c r="K21" s="10" t="s">
        <v>29</v>
      </c>
      <c r="L21" s="10" t="s">
        <v>29</v>
      </c>
      <c r="N21" s="10" t="s">
        <v>222</v>
      </c>
      <c r="O21" s="10" t="s">
        <v>222</v>
      </c>
      <c r="S21" s="28"/>
      <c r="V21" s="10" t="s">
        <v>113</v>
      </c>
      <c r="W21" s="10" t="s">
        <v>29</v>
      </c>
      <c r="AB21" s="10" t="s">
        <v>113</v>
      </c>
      <c r="AG21" s="10" t="s">
        <v>113</v>
      </c>
      <c r="AH21"/>
      <c r="AI21"/>
    </row>
    <row r="22" spans="1:35" ht="24.75" customHeight="1">
      <c r="A22" s="8" t="s">
        <v>106</v>
      </c>
      <c r="B22" s="10" t="s">
        <v>422</v>
      </c>
      <c r="C22" s="10" t="s">
        <v>29</v>
      </c>
      <c r="D22" s="10" t="s">
        <v>92</v>
      </c>
      <c r="E22" s="10" t="s">
        <v>107</v>
      </c>
      <c r="G22" s="10" t="s">
        <v>143</v>
      </c>
      <c r="H22" s="10" t="s">
        <v>107</v>
      </c>
      <c r="I22" s="10" t="s">
        <v>107</v>
      </c>
      <c r="J22" s="10" t="s">
        <v>143</v>
      </c>
      <c r="K22" s="10" t="s">
        <v>143</v>
      </c>
      <c r="L22" s="10" t="s">
        <v>107</v>
      </c>
      <c r="M22" s="10" t="s">
        <v>107</v>
      </c>
      <c r="N22" s="10" t="s">
        <v>223</v>
      </c>
      <c r="O22" s="10" t="s">
        <v>236</v>
      </c>
      <c r="P22" s="10" t="s">
        <v>249</v>
      </c>
      <c r="S22" s="31" t="s">
        <v>430</v>
      </c>
      <c r="U22" s="10" t="s">
        <v>319</v>
      </c>
      <c r="V22" s="10" t="s">
        <v>470</v>
      </c>
      <c r="W22" s="10" t="s">
        <v>107</v>
      </c>
      <c r="AA22" s="10" t="s">
        <v>93</v>
      </c>
      <c r="AB22" s="10" t="s">
        <v>29</v>
      </c>
      <c r="AE22" s="10" t="s">
        <v>387</v>
      </c>
      <c r="AG22" s="10" t="s">
        <v>29</v>
      </c>
      <c r="AH22"/>
      <c r="AI22"/>
    </row>
    <row r="23" spans="1:35" ht="24.75" customHeight="1">
      <c r="A23" s="8" t="s">
        <v>110</v>
      </c>
      <c r="B23" s="10" t="s">
        <v>160</v>
      </c>
      <c r="C23" s="10" t="s">
        <v>114</v>
      </c>
      <c r="D23" s="10" t="s">
        <v>111</v>
      </c>
      <c r="E23" s="10" t="s">
        <v>160</v>
      </c>
      <c r="G23" s="10" t="s">
        <v>142</v>
      </c>
      <c r="H23" s="10" t="s">
        <v>161</v>
      </c>
      <c r="I23" s="10" t="s">
        <v>142</v>
      </c>
      <c r="J23" s="10" t="s">
        <v>142</v>
      </c>
      <c r="K23" s="10" t="s">
        <v>142</v>
      </c>
      <c r="L23" s="10" t="s">
        <v>142</v>
      </c>
      <c r="M23" s="10" t="s">
        <v>202</v>
      </c>
      <c r="N23" s="10" t="s">
        <v>114</v>
      </c>
      <c r="O23" s="10" t="s">
        <v>114</v>
      </c>
      <c r="P23" s="10" t="s">
        <v>114</v>
      </c>
      <c r="Q23" s="10" t="s">
        <v>271</v>
      </c>
      <c r="S23" s="28" t="s">
        <v>114</v>
      </c>
      <c r="V23" s="10" t="s">
        <v>469</v>
      </c>
      <c r="W23" s="10" t="s">
        <v>160</v>
      </c>
      <c r="Y23" s="10" t="s">
        <v>160</v>
      </c>
      <c r="AA23" s="10" t="s">
        <v>114</v>
      </c>
      <c r="AB23" s="10" t="s">
        <v>114</v>
      </c>
      <c r="AD23" s="10" t="s">
        <v>160</v>
      </c>
      <c r="AE23" s="10" t="s">
        <v>160</v>
      </c>
      <c r="AG23" s="10" t="s">
        <v>114</v>
      </c>
      <c r="AH23"/>
      <c r="AI23"/>
    </row>
    <row r="24" spans="1:35" ht="24.75" customHeight="1">
      <c r="A24" s="8" t="s">
        <v>43</v>
      </c>
      <c r="B24" s="10" t="s">
        <v>415</v>
      </c>
      <c r="C24" s="10" t="s">
        <v>78</v>
      </c>
      <c r="D24" s="10" t="s">
        <v>44</v>
      </c>
      <c r="E24" s="10" t="s">
        <v>98</v>
      </c>
      <c r="F24" s="10" t="s">
        <v>66</v>
      </c>
      <c r="G24" s="10" t="s">
        <v>131</v>
      </c>
      <c r="H24" s="10" t="s">
        <v>151</v>
      </c>
      <c r="I24" s="10" t="s">
        <v>165</v>
      </c>
      <c r="J24" s="10" t="s">
        <v>131</v>
      </c>
      <c r="K24" s="10" t="s">
        <v>131</v>
      </c>
      <c r="L24" s="10" t="s">
        <v>185</v>
      </c>
      <c r="M24" s="10" t="s">
        <v>197</v>
      </c>
      <c r="N24" s="10" t="s">
        <v>208</v>
      </c>
      <c r="O24" s="10" t="s">
        <v>227</v>
      </c>
      <c r="Q24" s="10" t="s">
        <v>255</v>
      </c>
      <c r="R24" s="10" t="s">
        <v>274</v>
      </c>
      <c r="S24" s="28" t="s">
        <v>426</v>
      </c>
      <c r="T24" s="10" t="s">
        <v>287</v>
      </c>
      <c r="U24" s="10" t="s">
        <v>308</v>
      </c>
      <c r="V24" s="10" t="s">
        <v>459</v>
      </c>
      <c r="W24" s="10" t="s">
        <v>98</v>
      </c>
      <c r="X24" s="10" t="s">
        <v>326</v>
      </c>
      <c r="Y24" s="7" t="s">
        <v>339</v>
      </c>
      <c r="Z24" t="s">
        <v>348</v>
      </c>
      <c r="AA24"/>
      <c r="AB24" t="s">
        <v>365</v>
      </c>
      <c r="AC24" t="s">
        <v>449</v>
      </c>
      <c r="AD24" t="s">
        <v>375</v>
      </c>
      <c r="AE24" t="s">
        <v>375</v>
      </c>
      <c r="AF24" t="s">
        <v>393</v>
      </c>
      <c r="AG24" t="s">
        <v>403</v>
      </c>
      <c r="AH24"/>
      <c r="AI24"/>
    </row>
    <row r="25" spans="1:35" ht="24.75" customHeight="1">
      <c r="A25" s="8" t="s">
        <v>40</v>
      </c>
      <c r="B25" s="10" t="s">
        <v>416</v>
      </c>
      <c r="C25" s="10" t="s">
        <v>38</v>
      </c>
      <c r="D25" s="10" t="s">
        <v>38</v>
      </c>
      <c r="E25" s="10" t="s">
        <v>99</v>
      </c>
      <c r="F25" s="10" t="s">
        <v>67</v>
      </c>
      <c r="G25" s="10" t="s">
        <v>132</v>
      </c>
      <c r="H25" s="10" t="s">
        <v>153</v>
      </c>
      <c r="I25" s="10" t="s">
        <v>166</v>
      </c>
      <c r="J25" s="10" t="s">
        <v>132</v>
      </c>
      <c r="K25" s="10" t="s">
        <v>132</v>
      </c>
      <c r="L25" s="10" t="s">
        <v>166</v>
      </c>
      <c r="N25" s="10" t="s">
        <v>210</v>
      </c>
      <c r="O25" s="10" t="s">
        <v>210</v>
      </c>
      <c r="P25" s="10" t="s">
        <v>210</v>
      </c>
      <c r="Q25" s="10" t="s">
        <v>257</v>
      </c>
      <c r="R25" s="10" t="s">
        <v>210</v>
      </c>
      <c r="S25" s="28"/>
      <c r="T25" s="10" t="s">
        <v>210</v>
      </c>
      <c r="U25" s="10" t="s">
        <v>310</v>
      </c>
      <c r="V25" s="10" t="s">
        <v>463</v>
      </c>
      <c r="W25" s="10" t="s">
        <v>99</v>
      </c>
      <c r="X25" s="10" t="s">
        <v>210</v>
      </c>
      <c r="Y25" s="10" t="s">
        <v>310</v>
      </c>
      <c r="Z25" s="10" t="s">
        <v>310</v>
      </c>
      <c r="AA25" s="10" t="s">
        <v>438</v>
      </c>
      <c r="AB25" s="10" t="s">
        <v>210</v>
      </c>
      <c r="AC25" s="10" t="s">
        <v>210</v>
      </c>
      <c r="AD25" s="10" t="s">
        <v>399</v>
      </c>
      <c r="AE25" s="10" t="s">
        <v>399</v>
      </c>
      <c r="AF25" s="10" t="s">
        <v>399</v>
      </c>
      <c r="AG25" s="10" t="s">
        <v>210</v>
      </c>
      <c r="AH25"/>
      <c r="AI25"/>
    </row>
    <row r="26" spans="1:35" ht="24.75" customHeight="1">
      <c r="A26" s="8" t="s">
        <v>122</v>
      </c>
      <c r="C26" s="10" t="s">
        <v>125</v>
      </c>
      <c r="D26" s="10" t="s">
        <v>123</v>
      </c>
      <c r="E26" s="10" t="s">
        <v>124</v>
      </c>
      <c r="F26" s="10" t="s">
        <v>126</v>
      </c>
      <c r="G26" s="10" t="s">
        <v>127</v>
      </c>
      <c r="H26" s="10" t="s">
        <v>150</v>
      </c>
      <c r="I26" s="10" t="s">
        <v>174</v>
      </c>
      <c r="J26" s="10" t="s">
        <v>174</v>
      </c>
      <c r="K26" s="10" t="s">
        <v>174</v>
      </c>
      <c r="L26" s="10" t="s">
        <v>186</v>
      </c>
      <c r="M26" s="10" t="s">
        <v>174</v>
      </c>
      <c r="N26" s="10" t="s">
        <v>207</v>
      </c>
      <c r="O26" s="10" t="s">
        <v>229</v>
      </c>
      <c r="P26" s="10" t="s">
        <v>229</v>
      </c>
      <c r="R26" s="10" t="s">
        <v>277</v>
      </c>
      <c r="S26" s="28"/>
      <c r="T26" s="10" t="s">
        <v>290</v>
      </c>
      <c r="W26" s="10" t="s">
        <v>124</v>
      </c>
      <c r="X26" s="10" t="s">
        <v>124</v>
      </c>
      <c r="Z26" s="10" t="s">
        <v>359</v>
      </c>
      <c r="AB26" s="10" t="s">
        <v>362</v>
      </c>
      <c r="AD26" s="10" t="s">
        <v>362</v>
      </c>
      <c r="AE26" s="10" t="s">
        <v>362</v>
      </c>
      <c r="AF26" s="10" t="s">
        <v>388</v>
      </c>
      <c r="AG26" s="10" t="s">
        <v>389</v>
      </c>
      <c r="AH26"/>
      <c r="AI26"/>
    </row>
    <row r="27" spans="1:35" ht="24.75" customHeight="1">
      <c r="A27" s="8" t="s">
        <v>41</v>
      </c>
      <c r="B27" s="10" t="s">
        <v>45</v>
      </c>
      <c r="C27" s="10" t="s">
        <v>38</v>
      </c>
      <c r="D27" s="10" t="s">
        <v>45</v>
      </c>
      <c r="E27" s="10" t="s">
        <v>29</v>
      </c>
      <c r="F27" s="10" t="s">
        <v>71</v>
      </c>
      <c r="G27" s="10" t="s">
        <v>38</v>
      </c>
      <c r="H27" s="10" t="s">
        <v>36</v>
      </c>
      <c r="I27" s="10" t="s">
        <v>38</v>
      </c>
      <c r="J27" s="10" t="s">
        <v>38</v>
      </c>
      <c r="K27" s="10" t="s">
        <v>38</v>
      </c>
      <c r="L27" s="10" t="s">
        <v>188</v>
      </c>
      <c r="N27" s="10" t="s">
        <v>214</v>
      </c>
      <c r="O27" s="10" t="s">
        <v>230</v>
      </c>
      <c r="P27" s="10" t="s">
        <v>243</v>
      </c>
      <c r="Q27" s="10" t="s">
        <v>265</v>
      </c>
      <c r="R27" s="10" t="s">
        <v>283</v>
      </c>
      <c r="S27" s="28"/>
      <c r="T27" s="10" t="s">
        <v>296</v>
      </c>
      <c r="V27" s="10" t="s">
        <v>460</v>
      </c>
      <c r="W27" s="10" t="s">
        <v>29</v>
      </c>
      <c r="X27" s="10" t="s">
        <v>333</v>
      </c>
      <c r="Y27" s="10" t="s">
        <v>342</v>
      </c>
      <c r="Z27" s="10" t="s">
        <v>342</v>
      </c>
      <c r="AA27" s="10" t="s">
        <v>439</v>
      </c>
      <c r="AB27" s="10" t="s">
        <v>283</v>
      </c>
      <c r="AD27" s="10" t="s">
        <v>377</v>
      </c>
      <c r="AE27" s="10" t="s">
        <v>377</v>
      </c>
      <c r="AF27" s="10" t="s">
        <v>38</v>
      </c>
      <c r="AG27" s="10" t="s">
        <v>406</v>
      </c>
      <c r="AH27"/>
      <c r="AI27"/>
    </row>
    <row r="28" spans="1:35" ht="24.75" customHeight="1">
      <c r="A28" s="8" t="s">
        <v>42</v>
      </c>
      <c r="C28" s="10" t="s">
        <v>39</v>
      </c>
      <c r="D28" s="10" t="s">
        <v>86</v>
      </c>
      <c r="E28" s="10" t="s">
        <v>29</v>
      </c>
      <c r="F28" s="10" t="s">
        <v>29</v>
      </c>
      <c r="N28" s="10" t="s">
        <v>211</v>
      </c>
      <c r="O28" s="10" t="s">
        <v>237</v>
      </c>
      <c r="P28" s="10" t="s">
        <v>86</v>
      </c>
      <c r="R28" s="10" t="s">
        <v>29</v>
      </c>
      <c r="S28" s="28" t="s">
        <v>434</v>
      </c>
      <c r="T28" s="10" t="s">
        <v>288</v>
      </c>
      <c r="V28" s="10" t="s">
        <v>461</v>
      </c>
      <c r="W28" s="10" t="s">
        <v>29</v>
      </c>
      <c r="AG28" s="10" t="s">
        <v>288</v>
      </c>
      <c r="AH28"/>
      <c r="AI28"/>
    </row>
    <row r="29" spans="1:35" ht="24.75" customHeight="1">
      <c r="A29" s="8" t="s">
        <v>194</v>
      </c>
      <c r="B29" s="10" t="s">
        <v>419</v>
      </c>
      <c r="D29" s="10" t="s">
        <v>195</v>
      </c>
      <c r="M29" s="10" t="s">
        <v>253</v>
      </c>
      <c r="N29" s="10" t="s">
        <v>206</v>
      </c>
      <c r="O29" s="10" t="s">
        <v>195</v>
      </c>
      <c r="P29" s="10" t="s">
        <v>195</v>
      </c>
      <c r="Q29" s="10" t="s">
        <v>307</v>
      </c>
      <c r="R29" s="10" t="s">
        <v>195</v>
      </c>
      <c r="S29" s="28" t="s">
        <v>429</v>
      </c>
      <c r="T29" s="10" t="s">
        <v>293</v>
      </c>
      <c r="U29" s="10" t="s">
        <v>306</v>
      </c>
      <c r="V29" s="10" t="s">
        <v>462</v>
      </c>
      <c r="Y29" s="10" t="s">
        <v>306</v>
      </c>
      <c r="AB29" s="10" t="s">
        <v>364</v>
      </c>
      <c r="AC29" s="10" t="s">
        <v>195</v>
      </c>
      <c r="AD29" s="10" t="s">
        <v>383</v>
      </c>
      <c r="AE29" s="10" t="s">
        <v>383</v>
      </c>
      <c r="AF29" s="10" t="s">
        <v>195</v>
      </c>
      <c r="AG29" s="10" t="s">
        <v>195</v>
      </c>
      <c r="AH29"/>
      <c r="AI29"/>
    </row>
    <row r="30" spans="1:35" ht="24.75" customHeight="1">
      <c r="A30" s="8" t="s">
        <v>1</v>
      </c>
      <c r="B30" s="10" t="s">
        <v>2</v>
      </c>
      <c r="C30" s="10" t="s">
        <v>22</v>
      </c>
      <c r="D30" s="10" t="s">
        <v>22</v>
      </c>
      <c r="E30" s="10" t="s">
        <v>2</v>
      </c>
      <c r="F30" s="10" t="s">
        <v>68</v>
      </c>
      <c r="H30" s="10" t="s">
        <v>2</v>
      </c>
      <c r="I30" s="10" t="s">
        <v>22</v>
      </c>
      <c r="J30" s="10" t="s">
        <v>22</v>
      </c>
      <c r="K30" s="10" t="s">
        <v>22</v>
      </c>
      <c r="L30" s="10" t="s">
        <v>22</v>
      </c>
      <c r="M30" s="10" t="s">
        <v>22</v>
      </c>
      <c r="N30" s="10" t="s">
        <v>224</v>
      </c>
      <c r="O30" s="10" t="s">
        <v>224</v>
      </c>
      <c r="P30" s="10" t="s">
        <v>224</v>
      </c>
      <c r="Q30" s="10" t="s">
        <v>224</v>
      </c>
      <c r="R30" s="10" t="s">
        <v>224</v>
      </c>
      <c r="S30" s="28" t="s">
        <v>2</v>
      </c>
      <c r="T30" s="10" t="s">
        <v>2</v>
      </c>
      <c r="V30" s="10" t="s">
        <v>22</v>
      </c>
      <c r="W30" s="10" t="s">
        <v>2</v>
      </c>
      <c r="X30" s="10" t="s">
        <v>2</v>
      </c>
      <c r="Y30" s="10" t="s">
        <v>2</v>
      </c>
      <c r="AA30" s="10" t="s">
        <v>2</v>
      </c>
      <c r="AB30" s="10" t="s">
        <v>22</v>
      </c>
      <c r="AC30" s="10" t="s">
        <v>2</v>
      </c>
      <c r="AD30" s="10" t="s">
        <v>2</v>
      </c>
      <c r="AE30" s="10" t="s">
        <v>2</v>
      </c>
      <c r="AF30" s="10" t="s">
        <v>22</v>
      </c>
      <c r="AG30" s="10" t="s">
        <v>22</v>
      </c>
      <c r="AH30"/>
      <c r="AI30"/>
    </row>
    <row r="31" spans="1:35" ht="24.75" customHeight="1">
      <c r="A31" s="8" t="s">
        <v>50</v>
      </c>
      <c r="C31" s="10">
        <v>8</v>
      </c>
      <c r="D31" s="10">
        <v>5</v>
      </c>
      <c r="F31" s="10">
        <v>5</v>
      </c>
      <c r="G31" s="10">
        <v>5</v>
      </c>
      <c r="I31" s="10">
        <v>5</v>
      </c>
      <c r="J31" s="10">
        <v>5</v>
      </c>
      <c r="K31" s="10">
        <v>5</v>
      </c>
      <c r="L31" s="10">
        <v>5</v>
      </c>
      <c r="M31" s="10">
        <v>5</v>
      </c>
      <c r="N31" s="10">
        <v>8</v>
      </c>
      <c r="O31" s="10">
        <v>8</v>
      </c>
      <c r="P31" s="10">
        <v>8</v>
      </c>
      <c r="Q31" s="10">
        <v>5</v>
      </c>
      <c r="R31" s="10">
        <v>5</v>
      </c>
      <c r="S31" s="28"/>
      <c r="U31" s="10">
        <v>5</v>
      </c>
      <c r="V31" s="10">
        <v>8</v>
      </c>
      <c r="Z31" s="10">
        <v>5</v>
      </c>
      <c r="AB31" s="10">
        <v>8</v>
      </c>
      <c r="AF31" s="10">
        <v>5</v>
      </c>
      <c r="AG31" s="10">
        <v>8</v>
      </c>
      <c r="AH31"/>
      <c r="AI31"/>
    </row>
    <row r="32" spans="1:35" ht="24.75" customHeight="1">
      <c r="A32" s="8" t="s">
        <v>24</v>
      </c>
      <c r="B32" s="10" t="s">
        <v>417</v>
      </c>
      <c r="C32" s="10" t="s">
        <v>26</v>
      </c>
      <c r="D32" s="10" t="s">
        <v>48</v>
      </c>
      <c r="E32" s="10" t="s">
        <v>28</v>
      </c>
      <c r="F32" s="10" t="s">
        <v>69</v>
      </c>
      <c r="G32" s="10" t="s">
        <v>76</v>
      </c>
      <c r="H32" s="10" t="s">
        <v>149</v>
      </c>
      <c r="I32" s="10" t="s">
        <v>182</v>
      </c>
      <c r="J32" s="10" t="s">
        <v>182</v>
      </c>
      <c r="K32" s="10" t="s">
        <v>182</v>
      </c>
      <c r="L32" s="10" t="s">
        <v>49</v>
      </c>
      <c r="M32" s="10" t="s">
        <v>193</v>
      </c>
      <c r="N32" s="10" t="s">
        <v>70</v>
      </c>
      <c r="O32" s="10" t="s">
        <v>23</v>
      </c>
      <c r="P32" s="10" t="s">
        <v>240</v>
      </c>
      <c r="Q32" s="10" t="s">
        <v>251</v>
      </c>
      <c r="R32" s="10" t="s">
        <v>275</v>
      </c>
      <c r="S32" s="28" t="s">
        <v>428</v>
      </c>
      <c r="T32" s="10" t="s">
        <v>77</v>
      </c>
      <c r="U32" s="10" t="s">
        <v>311</v>
      </c>
      <c r="W32" s="10" t="s">
        <v>28</v>
      </c>
      <c r="X32" s="10" t="s">
        <v>327</v>
      </c>
      <c r="Y32" s="10" t="s">
        <v>69</v>
      </c>
      <c r="Z32" s="10" t="s">
        <v>350</v>
      </c>
      <c r="AA32" s="10" t="s">
        <v>440</v>
      </c>
      <c r="AB32" s="10" t="s">
        <v>366</v>
      </c>
      <c r="AC32" s="10" t="s">
        <v>450</v>
      </c>
      <c r="AD32" s="10" t="s">
        <v>384</v>
      </c>
      <c r="AE32" s="10" t="s">
        <v>386</v>
      </c>
      <c r="AF32" s="10" t="s">
        <v>400</v>
      </c>
      <c r="AG32" s="10" t="s">
        <v>405</v>
      </c>
      <c r="AH32"/>
      <c r="AI32"/>
    </row>
    <row r="33" spans="1:35" ht="24.75" customHeight="1">
      <c r="A33" s="8" t="s">
        <v>25</v>
      </c>
      <c r="B33" s="10" t="s">
        <v>418</v>
      </c>
      <c r="C33" s="10" t="s">
        <v>23</v>
      </c>
      <c r="D33" s="10" t="s">
        <v>49</v>
      </c>
      <c r="E33" s="10" t="s">
        <v>77</v>
      </c>
      <c r="F33" s="10" t="s">
        <v>70</v>
      </c>
      <c r="G33" s="10" t="s">
        <v>75</v>
      </c>
      <c r="H33" s="10" t="s">
        <v>149</v>
      </c>
      <c r="I33" s="10" t="s">
        <v>167</v>
      </c>
      <c r="J33" s="10" t="s">
        <v>167</v>
      </c>
      <c r="K33" s="10" t="s">
        <v>167</v>
      </c>
      <c r="L33" s="10" t="s">
        <v>183</v>
      </c>
      <c r="M33" s="10" t="s">
        <v>192</v>
      </c>
      <c r="N33" s="10" t="s">
        <v>212</v>
      </c>
      <c r="O33" s="10" t="s">
        <v>228</v>
      </c>
      <c r="P33" s="10" t="s">
        <v>241</v>
      </c>
      <c r="Q33" s="10" t="s">
        <v>252</v>
      </c>
      <c r="R33" s="10" t="s">
        <v>276</v>
      </c>
      <c r="S33" s="28"/>
      <c r="U33" s="10" t="s">
        <v>312</v>
      </c>
      <c r="W33" s="10" t="s">
        <v>77</v>
      </c>
      <c r="X33" s="10" t="s">
        <v>328</v>
      </c>
      <c r="Y33" s="10" t="s">
        <v>338</v>
      </c>
      <c r="Z33" s="10" t="s">
        <v>349</v>
      </c>
      <c r="AB33" s="10" t="s">
        <v>23</v>
      </c>
      <c r="AF33" s="10">
        <v>45</v>
      </c>
      <c r="AG33" s="10" t="s">
        <v>23</v>
      </c>
      <c r="AH33"/>
      <c r="AI33"/>
    </row>
    <row r="34" spans="1:35" s="22" customFormat="1" ht="24.75" customHeight="1">
      <c r="A34" s="20" t="s">
        <v>3</v>
      </c>
      <c r="B34" s="21"/>
      <c r="C34" s="21">
        <v>250</v>
      </c>
      <c r="D34" s="21">
        <v>800</v>
      </c>
      <c r="E34" s="21">
        <v>250</v>
      </c>
      <c r="F34" s="21">
        <v>60</v>
      </c>
      <c r="G34" s="21">
        <v>300</v>
      </c>
      <c r="H34" s="21">
        <v>800</v>
      </c>
      <c r="I34" s="21">
        <v>300</v>
      </c>
      <c r="J34" s="21">
        <v>300</v>
      </c>
      <c r="K34" s="21">
        <v>300</v>
      </c>
      <c r="L34" s="21">
        <v>300</v>
      </c>
      <c r="M34" s="21">
        <v>300</v>
      </c>
      <c r="N34" s="21">
        <v>30</v>
      </c>
      <c r="O34" s="21">
        <v>3</v>
      </c>
      <c r="P34" s="21">
        <v>6</v>
      </c>
      <c r="Q34" s="21">
        <v>100</v>
      </c>
      <c r="R34" s="21">
        <v>200</v>
      </c>
      <c r="S34" s="28">
        <v>1</v>
      </c>
      <c r="T34" s="21">
        <v>3</v>
      </c>
      <c r="U34" s="21">
        <v>1000</v>
      </c>
      <c r="V34" s="21">
        <v>35</v>
      </c>
      <c r="W34" s="21">
        <v>300</v>
      </c>
      <c r="X34" s="21">
        <v>250</v>
      </c>
      <c r="Y34" s="21">
        <v>200</v>
      </c>
      <c r="Z34" s="21">
        <v>350</v>
      </c>
      <c r="AA34" s="21">
        <v>6</v>
      </c>
      <c r="AB34" s="21">
        <v>150</v>
      </c>
      <c r="AC34" s="21">
        <v>0.03</v>
      </c>
      <c r="AD34" s="21">
        <v>120</v>
      </c>
      <c r="AE34" s="21">
        <v>120</v>
      </c>
      <c r="AF34" s="21">
        <v>800</v>
      </c>
      <c r="AG34" s="21">
        <v>300</v>
      </c>
    </row>
    <row r="35" spans="1:35" s="6" customFormat="1">
      <c r="B35" s="10"/>
      <c r="C35" s="10"/>
      <c r="D35" s="10"/>
      <c r="E35" s="10"/>
      <c r="F35" s="10"/>
      <c r="G35" s="10"/>
      <c r="H35" s="10"/>
      <c r="I35" s="10"/>
      <c r="J35" s="10"/>
      <c r="K35" s="10"/>
      <c r="L35" s="10"/>
      <c r="M35" s="10"/>
      <c r="N35" s="10"/>
      <c r="O35" s="10"/>
      <c r="P35" s="10"/>
      <c r="Q35" s="10"/>
      <c r="R35" s="10"/>
      <c r="S35" s="32"/>
      <c r="T35" s="10"/>
      <c r="U35" s="10"/>
      <c r="V35" s="10"/>
      <c r="W35" s="10"/>
      <c r="X35" s="10"/>
      <c r="Y35" s="10"/>
      <c r="Z35" s="10"/>
      <c r="AA35" s="10"/>
      <c r="AB35" s="10"/>
      <c r="AC35" s="10"/>
      <c r="AD35" s="10"/>
      <c r="AE35" s="10"/>
      <c r="AF35" s="10"/>
      <c r="AG35" s="10"/>
      <c r="AH35" s="10"/>
      <c r="AI35" s="10"/>
    </row>
    <row r="36" spans="1:35" s="6" customFormat="1">
      <c r="B36" s="10"/>
      <c r="C36" s="10"/>
      <c r="D36" s="10"/>
      <c r="E36" s="10"/>
      <c r="F36" s="10"/>
      <c r="G36" s="10"/>
      <c r="H36" s="10"/>
      <c r="I36" s="10"/>
      <c r="J36" s="10"/>
      <c r="K36" s="10"/>
      <c r="L36" s="10"/>
      <c r="M36" s="10"/>
      <c r="N36" s="10"/>
      <c r="O36" s="10"/>
      <c r="P36" s="10"/>
      <c r="Q36" s="10"/>
      <c r="R36" s="10"/>
      <c r="S36" s="32"/>
      <c r="T36" s="10"/>
      <c r="U36" s="10"/>
      <c r="V36" s="10"/>
      <c r="W36" s="10"/>
      <c r="X36" s="10"/>
      <c r="Y36" s="10"/>
      <c r="Z36" s="10"/>
      <c r="AA36" s="10"/>
      <c r="AB36" s="10"/>
      <c r="AC36" s="10"/>
      <c r="AD36" s="10"/>
      <c r="AE36" s="10"/>
      <c r="AF36" s="10"/>
      <c r="AG36" s="10"/>
      <c r="AH36" s="10"/>
      <c r="AI36" s="10"/>
    </row>
    <row r="37" spans="1:35" s="6" customFormat="1">
      <c r="B37" s="10"/>
      <c r="C37" s="10"/>
      <c r="D37" s="10"/>
      <c r="E37" s="10"/>
      <c r="F37" s="10"/>
      <c r="G37" s="10"/>
      <c r="H37" s="10"/>
      <c r="I37" s="10"/>
      <c r="J37" s="10"/>
      <c r="K37" s="10"/>
      <c r="L37" s="10"/>
      <c r="M37" s="10"/>
      <c r="N37" s="10"/>
      <c r="O37" s="10"/>
      <c r="P37" s="10"/>
      <c r="Q37" s="10"/>
      <c r="R37" s="10"/>
      <c r="S37" s="32"/>
      <c r="T37" s="10"/>
      <c r="U37" s="10"/>
      <c r="V37" s="10"/>
      <c r="W37" s="10"/>
      <c r="X37" s="10"/>
      <c r="Y37" s="10"/>
      <c r="Z37" s="10"/>
      <c r="AA37" s="10"/>
      <c r="AB37" s="10"/>
      <c r="AC37" s="10"/>
      <c r="AD37" s="10"/>
      <c r="AE37" s="10"/>
      <c r="AF37" s="10"/>
      <c r="AG37" s="10"/>
      <c r="AH37" s="10"/>
      <c r="AI37" s="10"/>
    </row>
    <row r="38" spans="1:35" s="6" customFormat="1">
      <c r="A38" s="6">
        <v>110</v>
      </c>
      <c r="B38" s="10"/>
      <c r="C38" s="10"/>
      <c r="D38" s="10"/>
      <c r="E38" s="10"/>
      <c r="F38" s="10"/>
      <c r="G38" s="10"/>
      <c r="H38" s="10"/>
      <c r="I38" s="10"/>
      <c r="J38" s="10"/>
      <c r="K38" s="10"/>
      <c r="L38" s="10"/>
      <c r="M38" s="10"/>
      <c r="N38" s="10"/>
      <c r="O38" s="10"/>
      <c r="P38" s="10"/>
      <c r="Q38" s="10"/>
      <c r="R38" s="10"/>
      <c r="S38" s="32"/>
      <c r="T38" s="10"/>
      <c r="U38" s="10"/>
      <c r="V38" s="10"/>
      <c r="W38" s="10"/>
      <c r="X38" s="10"/>
      <c r="Y38" s="10">
        <f>11.51/0.1*4</f>
        <v>460.4</v>
      </c>
      <c r="Z38" s="10"/>
      <c r="AA38" s="10"/>
      <c r="AB38" s="10"/>
      <c r="AC38" s="10"/>
      <c r="AD38" s="10"/>
      <c r="AE38" s="10"/>
      <c r="AF38" s="10"/>
      <c r="AG38" s="10"/>
      <c r="AH38" s="10"/>
      <c r="AI38" s="10"/>
    </row>
    <row r="39" spans="1:35" s="6" customFormat="1">
      <c r="B39" s="10"/>
      <c r="C39" s="10"/>
      <c r="D39" s="10"/>
      <c r="E39" s="10"/>
      <c r="F39" s="10"/>
      <c r="G39" s="10"/>
      <c r="H39" s="10"/>
      <c r="I39" s="10"/>
      <c r="J39" s="10"/>
      <c r="K39" s="10"/>
      <c r="L39" s="10"/>
      <c r="M39" s="10"/>
      <c r="N39" s="10"/>
      <c r="O39" s="10"/>
      <c r="P39" s="10"/>
      <c r="Q39" s="10"/>
      <c r="R39" s="10"/>
      <c r="S39" s="32"/>
      <c r="T39" s="10"/>
      <c r="U39" s="10"/>
      <c r="V39" s="10"/>
      <c r="W39" s="10"/>
      <c r="X39" s="10"/>
      <c r="Y39" s="10">
        <f>Y38*8/350</f>
        <v>10.523428571428571</v>
      </c>
      <c r="Z39" s="10"/>
      <c r="AA39" s="10"/>
      <c r="AB39" s="10"/>
      <c r="AC39" s="10"/>
      <c r="AD39" s="10"/>
      <c r="AE39" s="10"/>
      <c r="AF39" s="10"/>
      <c r="AG39" s="10"/>
      <c r="AH39" s="10"/>
      <c r="AI39" s="10"/>
    </row>
    <row r="40" spans="1:35" s="6" customFormat="1">
      <c r="B40" s="10"/>
      <c r="C40" s="10"/>
      <c r="D40" s="10"/>
      <c r="E40" s="10"/>
      <c r="F40" s="10"/>
      <c r="G40" s="10"/>
      <c r="H40" s="10"/>
      <c r="I40" s="10"/>
      <c r="J40" s="10"/>
      <c r="K40" s="10"/>
      <c r="L40" s="10"/>
      <c r="M40" s="10"/>
      <c r="N40" s="10"/>
      <c r="O40" s="10"/>
      <c r="P40" s="10"/>
      <c r="Q40" s="10"/>
      <c r="R40" s="10"/>
      <c r="S40" s="32"/>
      <c r="T40" s="10"/>
      <c r="U40" s="10"/>
      <c r="V40" s="10"/>
      <c r="W40" s="10"/>
      <c r="X40" s="10"/>
      <c r="Y40" s="10"/>
      <c r="Z40" s="10"/>
      <c r="AA40" s="10"/>
      <c r="AB40" s="10"/>
      <c r="AC40" s="10"/>
      <c r="AD40" s="10"/>
      <c r="AE40" s="10"/>
      <c r="AF40" s="10"/>
      <c r="AG40" s="10"/>
      <c r="AH40" s="10"/>
      <c r="AI40" s="10"/>
    </row>
    <row r="41" spans="1:35" s="6" customFormat="1">
      <c r="B41" s="10"/>
      <c r="C41" s="10"/>
      <c r="D41" s="10"/>
      <c r="E41" s="10"/>
      <c r="F41" s="10"/>
      <c r="G41" s="10"/>
      <c r="H41" s="10"/>
      <c r="I41" s="10"/>
      <c r="J41" s="10"/>
      <c r="K41" s="10"/>
      <c r="L41" s="10"/>
      <c r="M41" s="10"/>
      <c r="N41" s="10"/>
      <c r="O41" s="10"/>
      <c r="P41" s="10"/>
      <c r="Q41" s="10"/>
      <c r="R41" s="10"/>
      <c r="S41" s="32"/>
      <c r="T41" s="10"/>
      <c r="U41" s="10"/>
      <c r="V41" s="10"/>
      <c r="W41" s="10"/>
      <c r="X41" s="10"/>
      <c r="Y41" s="10">
        <f>36/0.4</f>
        <v>90</v>
      </c>
      <c r="Z41" s="10"/>
      <c r="AA41" s="10"/>
      <c r="AB41" s="10"/>
      <c r="AC41" s="10"/>
      <c r="AD41" s="10"/>
      <c r="AE41" s="10"/>
      <c r="AF41" s="10"/>
      <c r="AG41" s="10"/>
      <c r="AH41" s="10"/>
      <c r="AI41" s="10"/>
    </row>
    <row r="42" spans="1:35" s="6" customFormat="1">
      <c r="B42" s="10"/>
      <c r="C42" s="10"/>
      <c r="D42" s="10"/>
      <c r="E42" s="10"/>
      <c r="F42" s="10"/>
      <c r="G42" s="10"/>
      <c r="H42" s="10"/>
      <c r="I42" s="10"/>
      <c r="J42" s="10"/>
      <c r="K42" s="10"/>
      <c r="L42" s="10"/>
      <c r="M42" s="10"/>
      <c r="N42" s="10"/>
      <c r="O42" s="10"/>
      <c r="P42" s="10"/>
      <c r="Q42" s="10"/>
      <c r="R42" s="10"/>
      <c r="S42" s="32"/>
      <c r="T42" s="10"/>
      <c r="U42" s="10"/>
      <c r="V42" s="10"/>
      <c r="W42" s="10"/>
      <c r="X42" s="10"/>
      <c r="Y42" s="10"/>
      <c r="Z42" s="10"/>
      <c r="AA42" s="10"/>
      <c r="AB42" s="10"/>
      <c r="AC42" s="10"/>
      <c r="AD42" s="10"/>
      <c r="AE42" s="10"/>
      <c r="AF42" s="10"/>
      <c r="AG42" s="10"/>
      <c r="AH42" s="10"/>
      <c r="AI42" s="10"/>
    </row>
    <row r="43" spans="1:35" s="6" customFormat="1">
      <c r="B43" s="10"/>
      <c r="C43" s="10"/>
      <c r="D43" s="10"/>
      <c r="E43" s="10"/>
      <c r="F43" s="10"/>
      <c r="G43" s="10"/>
      <c r="H43" s="10"/>
      <c r="I43" s="10"/>
      <c r="J43" s="10"/>
      <c r="K43" s="10"/>
      <c r="L43" s="10"/>
      <c r="M43" s="10"/>
      <c r="N43" s="10"/>
      <c r="O43" s="10"/>
      <c r="P43" s="10"/>
      <c r="Q43" s="10"/>
      <c r="R43" s="10"/>
      <c r="S43" s="32"/>
      <c r="T43" s="10"/>
      <c r="U43" s="10"/>
      <c r="V43" s="10"/>
      <c r="W43" s="10"/>
      <c r="X43" s="10"/>
      <c r="Y43" s="10"/>
      <c r="Z43" s="10"/>
      <c r="AA43" s="10"/>
      <c r="AB43" s="10"/>
      <c r="AC43" s="10"/>
      <c r="AD43" s="10"/>
      <c r="AE43" s="10"/>
      <c r="AF43" s="10"/>
      <c r="AG43" s="10"/>
      <c r="AH43" s="10"/>
      <c r="AI43" s="10"/>
    </row>
    <row r="44" spans="1:35" s="6" customFormat="1">
      <c r="B44" s="10"/>
      <c r="C44" s="10"/>
      <c r="D44" s="10"/>
      <c r="E44" s="10"/>
      <c r="F44" s="10"/>
      <c r="G44" s="10"/>
      <c r="H44" s="10"/>
      <c r="I44" s="10"/>
      <c r="J44" s="10"/>
      <c r="K44" s="10"/>
      <c r="L44" s="10"/>
      <c r="M44" s="10"/>
      <c r="N44" s="10"/>
      <c r="O44" s="10"/>
      <c r="P44" s="10"/>
      <c r="Q44" s="10"/>
      <c r="R44" s="10"/>
      <c r="S44" s="32"/>
      <c r="T44" s="10"/>
      <c r="U44" s="10"/>
      <c r="V44" s="10"/>
      <c r="W44" s="10"/>
      <c r="X44" s="10"/>
      <c r="Y44" s="10"/>
      <c r="Z44" s="10"/>
      <c r="AA44" s="10"/>
      <c r="AB44" s="10"/>
      <c r="AC44" s="10"/>
      <c r="AD44" s="10"/>
      <c r="AE44" s="10"/>
      <c r="AF44" s="10"/>
      <c r="AG44" s="10"/>
      <c r="AH44" s="10"/>
      <c r="AI44" s="10"/>
    </row>
    <row r="45" spans="1:35" s="6" customFormat="1">
      <c r="B45" s="10"/>
      <c r="C45" s="10"/>
      <c r="D45" s="10"/>
      <c r="E45" s="10"/>
      <c r="F45" s="10"/>
      <c r="G45" s="10"/>
      <c r="H45" s="10"/>
      <c r="I45" s="10"/>
      <c r="J45" s="10"/>
      <c r="K45" s="10"/>
      <c r="L45" s="10"/>
      <c r="M45" s="10"/>
      <c r="N45" s="10"/>
      <c r="O45" s="10"/>
      <c r="P45" s="10"/>
      <c r="Q45" s="10"/>
      <c r="R45" s="10"/>
      <c r="S45" s="32"/>
      <c r="T45" s="10"/>
      <c r="U45" s="10"/>
      <c r="V45" s="10"/>
      <c r="W45" s="10"/>
      <c r="X45" s="10"/>
      <c r="Y45" s="10"/>
      <c r="Z45" s="10"/>
      <c r="AA45" s="10"/>
      <c r="AB45" s="10"/>
      <c r="AC45" s="10"/>
      <c r="AD45" s="10"/>
      <c r="AE45" s="10"/>
      <c r="AF45" s="10"/>
      <c r="AG45" s="10"/>
      <c r="AH45" s="10"/>
      <c r="AI45" s="10"/>
    </row>
    <row r="46" spans="1:35" s="6" customFormat="1">
      <c r="B46" s="10"/>
      <c r="C46" s="10"/>
      <c r="D46" s="10"/>
      <c r="E46" s="10"/>
      <c r="F46" s="10"/>
      <c r="G46" s="10"/>
      <c r="H46" s="10"/>
      <c r="I46" s="10"/>
      <c r="J46" s="10"/>
      <c r="K46" s="10"/>
      <c r="L46" s="10"/>
      <c r="M46" s="10"/>
      <c r="N46" s="10"/>
      <c r="O46" s="10"/>
      <c r="P46" s="10"/>
      <c r="Q46" s="10"/>
      <c r="R46" s="10"/>
      <c r="S46" s="32"/>
      <c r="T46" s="10"/>
      <c r="U46" s="10"/>
      <c r="V46" s="10"/>
      <c r="W46" s="10"/>
      <c r="X46" s="10"/>
      <c r="Y46" s="10"/>
      <c r="Z46" s="10"/>
      <c r="AA46" s="10"/>
      <c r="AB46" s="10"/>
      <c r="AC46" s="10"/>
      <c r="AD46" s="10"/>
      <c r="AE46" s="10"/>
      <c r="AF46" s="10"/>
      <c r="AG46" s="10"/>
      <c r="AH46" s="10"/>
      <c r="AI46" s="10"/>
    </row>
    <row r="47" spans="1:35" s="6" customFormat="1">
      <c r="B47" s="10"/>
      <c r="C47" s="10"/>
      <c r="D47" s="10"/>
      <c r="E47" s="10"/>
      <c r="F47" s="10"/>
      <c r="G47" s="10"/>
      <c r="H47" s="10"/>
      <c r="I47" s="10"/>
      <c r="J47" s="10"/>
      <c r="K47" s="10"/>
      <c r="L47" s="10"/>
      <c r="M47" s="10"/>
      <c r="N47" s="10"/>
      <c r="O47" s="10"/>
      <c r="P47" s="10"/>
      <c r="Q47" s="10"/>
      <c r="R47" s="10"/>
      <c r="S47" s="32"/>
      <c r="T47" s="10"/>
      <c r="U47" s="10"/>
      <c r="V47" s="10">
        <f>11.5/0.2*3*9</f>
        <v>1552.5</v>
      </c>
      <c r="W47" s="10">
        <f>V47*4/250</f>
        <v>24.84</v>
      </c>
      <c r="X47" s="10"/>
      <c r="Y47" s="10"/>
      <c r="Z47" s="10"/>
      <c r="AA47" s="10"/>
      <c r="AB47" s="10"/>
      <c r="AC47" s="10"/>
      <c r="AD47" s="10"/>
      <c r="AE47" s="10"/>
      <c r="AF47" s="10"/>
      <c r="AG47" s="10"/>
      <c r="AH47" s="10"/>
      <c r="AI47" s="10"/>
    </row>
    <row r="48" spans="1:35" s="6" customFormat="1">
      <c r="B48" s="10"/>
      <c r="C48" s="10"/>
      <c r="D48" s="10"/>
      <c r="E48" s="10"/>
      <c r="F48" s="10"/>
      <c r="G48" s="10"/>
      <c r="H48" s="10"/>
      <c r="I48" s="10"/>
      <c r="J48" s="10"/>
      <c r="K48" s="10"/>
      <c r="L48" s="10"/>
      <c r="M48" s="10"/>
      <c r="N48" s="10"/>
      <c r="O48" s="10"/>
      <c r="P48" s="10"/>
      <c r="Q48" s="10"/>
      <c r="R48" s="10"/>
      <c r="S48" s="32"/>
      <c r="T48" s="10"/>
      <c r="U48" s="10"/>
      <c r="V48" s="10" t="s">
        <v>999</v>
      </c>
      <c r="W48" s="10" t="s">
        <v>998</v>
      </c>
      <c r="X48" s="10"/>
      <c r="Y48" s="10"/>
      <c r="Z48" s="10"/>
      <c r="AA48" s="10"/>
      <c r="AB48" s="10"/>
      <c r="AC48" s="10"/>
      <c r="AD48" s="10"/>
      <c r="AE48" s="10"/>
      <c r="AF48" s="10"/>
      <c r="AG48" s="10"/>
      <c r="AH48" s="10"/>
      <c r="AI48" s="10"/>
    </row>
    <row r="49" spans="2:35" s="6" customFormat="1">
      <c r="B49" s="10"/>
      <c r="C49" s="10"/>
      <c r="D49" s="10"/>
      <c r="E49" s="10"/>
      <c r="F49" s="10"/>
      <c r="G49" s="10"/>
      <c r="H49" s="10"/>
      <c r="I49" s="10"/>
      <c r="J49" s="10"/>
      <c r="K49" s="10"/>
      <c r="L49" s="10"/>
      <c r="M49" s="10"/>
      <c r="N49" s="10"/>
      <c r="O49" s="10"/>
      <c r="P49" s="10"/>
      <c r="Q49" s="10"/>
      <c r="R49" s="10"/>
      <c r="S49" s="32"/>
      <c r="T49" s="10"/>
      <c r="U49" s="10"/>
      <c r="V49" s="10"/>
      <c r="W49" s="10"/>
      <c r="X49" s="10"/>
      <c r="Y49" s="10"/>
      <c r="Z49" s="10"/>
      <c r="AA49" s="10"/>
      <c r="AB49" s="10"/>
      <c r="AC49" s="10"/>
      <c r="AD49" s="10"/>
      <c r="AE49" s="10"/>
      <c r="AF49" s="10"/>
      <c r="AG49" s="10"/>
      <c r="AH49" s="10"/>
      <c r="AI49" s="10"/>
    </row>
    <row r="50" spans="2:35" s="6" customFormat="1">
      <c r="B50" s="10"/>
      <c r="C50" s="10"/>
      <c r="D50" s="10"/>
      <c r="E50" s="10"/>
      <c r="F50" s="10"/>
      <c r="G50" s="10"/>
      <c r="H50" s="10"/>
      <c r="I50" s="10"/>
      <c r="J50" s="10"/>
      <c r="K50" s="10"/>
      <c r="L50" s="10"/>
      <c r="M50" s="10"/>
      <c r="N50" s="10"/>
      <c r="O50" s="10"/>
      <c r="P50" s="10"/>
      <c r="Q50" s="10"/>
      <c r="R50" s="10"/>
      <c r="S50" s="32"/>
      <c r="T50" s="10"/>
      <c r="U50" s="10"/>
      <c r="V50" s="10">
        <f>11.5/0.1*18</f>
        <v>2070</v>
      </c>
      <c r="W50" s="10">
        <f>V50*4/250</f>
        <v>33.119999999999997</v>
      </c>
      <c r="X50" s="10"/>
      <c r="Y50" s="10"/>
      <c r="Z50" s="10"/>
      <c r="AA50" s="10"/>
      <c r="AB50" s="10"/>
      <c r="AC50" s="10"/>
      <c r="AD50" s="10"/>
      <c r="AE50" s="10"/>
      <c r="AF50" s="10"/>
      <c r="AG50" s="10"/>
      <c r="AH50" s="10"/>
      <c r="AI50" s="10"/>
    </row>
    <row r="51" spans="2:35" s="6" customFormat="1">
      <c r="B51" s="10"/>
      <c r="C51" s="10"/>
      <c r="D51" s="10"/>
      <c r="E51" s="10"/>
      <c r="F51" s="10"/>
      <c r="G51" s="10"/>
      <c r="H51" s="10"/>
      <c r="I51" s="10"/>
      <c r="J51" s="10"/>
      <c r="K51" s="10"/>
      <c r="L51" s="10"/>
      <c r="M51" s="10"/>
      <c r="N51" s="10"/>
      <c r="O51" s="10"/>
      <c r="P51" s="10"/>
      <c r="Q51" s="10"/>
      <c r="R51" s="10"/>
      <c r="S51" s="32"/>
      <c r="T51" s="10"/>
      <c r="U51" s="10"/>
      <c r="V51" s="10" t="s">
        <v>999</v>
      </c>
      <c r="W51" s="10" t="s">
        <v>998</v>
      </c>
      <c r="X51" s="10"/>
      <c r="Y51" s="10"/>
      <c r="Z51" s="10"/>
      <c r="AA51" s="10"/>
      <c r="AB51" s="10"/>
      <c r="AC51" s="10"/>
      <c r="AD51" s="10"/>
      <c r="AE51" s="10"/>
      <c r="AF51" s="10"/>
      <c r="AG51" s="10"/>
      <c r="AH51" s="10"/>
      <c r="AI51" s="10"/>
    </row>
    <row r="52" spans="2:35" s="6" customFormat="1">
      <c r="B52" s="10"/>
      <c r="C52" s="10"/>
      <c r="D52" s="10"/>
      <c r="E52" s="10"/>
      <c r="F52" s="10"/>
      <c r="G52" s="10"/>
      <c r="H52" s="10"/>
      <c r="I52" s="10"/>
      <c r="J52" s="10"/>
      <c r="K52" s="10"/>
      <c r="L52" s="10"/>
      <c r="M52" s="10"/>
      <c r="N52" s="10"/>
      <c r="O52" s="10"/>
      <c r="P52" s="10"/>
      <c r="Q52" s="10"/>
      <c r="R52" s="10"/>
      <c r="S52" s="32"/>
      <c r="T52" s="10"/>
      <c r="U52" s="10"/>
      <c r="V52" s="10"/>
      <c r="W52" s="10"/>
      <c r="X52" s="10"/>
      <c r="Y52" s="10"/>
      <c r="Z52" s="10"/>
      <c r="AA52" s="10"/>
      <c r="AB52" s="10"/>
      <c r="AC52" s="10"/>
      <c r="AD52" s="10"/>
      <c r="AE52" s="10"/>
      <c r="AF52" s="10"/>
      <c r="AG52" s="10"/>
      <c r="AH52" s="10"/>
      <c r="AI52" s="1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S90"/>
  <sheetViews>
    <sheetView tabSelected="1" topLeftCell="A46" zoomScaleNormal="100" zoomScaleSheetLayoutView="55" workbookViewId="0">
      <selection activeCell="Q71" sqref="Q71"/>
    </sheetView>
  </sheetViews>
  <sheetFormatPr defaultRowHeight="15"/>
  <cols>
    <col min="1" max="2" width="14.85546875" style="23" customWidth="1"/>
    <col min="3" max="3" width="16.7109375" style="23" customWidth="1"/>
    <col min="4" max="7" width="14.85546875" style="23" customWidth="1"/>
    <col min="8" max="8" width="23.5703125" style="23" customWidth="1"/>
    <col min="9" max="9" width="14.85546875" style="23" customWidth="1"/>
    <col min="10" max="10" width="19.42578125" style="23" customWidth="1"/>
    <col min="11" max="11" width="14.85546875" style="23" customWidth="1"/>
    <col min="12" max="12" width="21.28515625" style="23" customWidth="1"/>
    <col min="13" max="13" width="15.42578125" style="23" bestFit="1" customWidth="1"/>
    <col min="14" max="16" width="20.28515625" style="23" customWidth="1"/>
    <col min="17" max="17" width="15.7109375" style="23" bestFit="1" customWidth="1"/>
    <col min="18" max="18" width="22.7109375" style="23" customWidth="1"/>
    <col min="19" max="19" width="15.42578125" style="23" bestFit="1" customWidth="1"/>
    <col min="20" max="21" width="15.140625" style="23" customWidth="1"/>
    <col min="22" max="22" width="29.28515625" style="23" customWidth="1"/>
    <col min="23" max="23" width="15.42578125" style="23" bestFit="1" customWidth="1"/>
    <col min="24" max="24" width="16.7109375" style="23" bestFit="1" customWidth="1"/>
    <col min="25" max="25" width="15.140625" style="23" customWidth="1"/>
    <col min="26" max="26" width="19.85546875" style="23" customWidth="1"/>
    <col min="27" max="27" width="15.140625" style="23" customWidth="1"/>
    <col min="28" max="28" width="21.7109375" style="23" customWidth="1"/>
    <col min="29" max="29" width="15.140625" style="23" bestFit="1" customWidth="1"/>
    <col min="30" max="30" width="16.7109375" style="23" bestFit="1" customWidth="1"/>
    <col min="31" max="31" width="15.140625" style="23" bestFit="1" customWidth="1"/>
    <col min="32" max="32" width="22.42578125" style="23" customWidth="1"/>
    <col min="33" max="33" width="15.140625" style="23" customWidth="1"/>
    <col min="34" max="34" width="16.28515625" style="23" bestFit="1" customWidth="1"/>
    <col min="35" max="35" width="17.85546875" style="23" customWidth="1"/>
    <col min="36" max="36" width="16.7109375" style="23" bestFit="1" customWidth="1"/>
    <col min="37" max="37" width="15.42578125" style="23" bestFit="1" customWidth="1"/>
    <col min="38" max="16384" width="9.140625" style="23"/>
  </cols>
  <sheetData>
    <row r="1" spans="1:19" ht="26.25">
      <c r="A1" s="187" t="s">
        <v>487</v>
      </c>
      <c r="B1" s="188"/>
    </row>
    <row r="2" spans="1:19" s="71" customFormat="1" ht="18.75">
      <c r="A2" s="109"/>
      <c r="B2" s="184" t="s">
        <v>480</v>
      </c>
      <c r="C2" s="185"/>
      <c r="D2" s="185"/>
      <c r="E2" s="185"/>
      <c r="F2" s="185"/>
      <c r="G2" s="186"/>
      <c r="H2" s="184" t="s">
        <v>481</v>
      </c>
      <c r="I2" s="185"/>
      <c r="J2" s="185"/>
      <c r="K2" s="185"/>
      <c r="L2" s="185"/>
      <c r="M2" s="186"/>
      <c r="N2" s="184" t="s">
        <v>482</v>
      </c>
      <c r="O2" s="185"/>
      <c r="P2" s="185"/>
      <c r="Q2" s="185"/>
      <c r="R2" s="185"/>
      <c r="S2" s="186"/>
    </row>
    <row r="3" spans="1:19" s="72" customFormat="1" ht="23.25" customHeight="1">
      <c r="A3" s="110"/>
      <c r="B3" s="100" t="s">
        <v>484</v>
      </c>
      <c r="C3" s="73" t="s">
        <v>483</v>
      </c>
      <c r="D3" s="73" t="s">
        <v>485</v>
      </c>
      <c r="E3" s="73" t="s">
        <v>483</v>
      </c>
      <c r="F3" s="73" t="s">
        <v>650</v>
      </c>
      <c r="G3" s="101" t="s">
        <v>483</v>
      </c>
      <c r="H3" s="100" t="s">
        <v>484</v>
      </c>
      <c r="I3" s="73" t="s">
        <v>483</v>
      </c>
      <c r="J3" s="73" t="s">
        <v>485</v>
      </c>
      <c r="K3" s="73" t="s">
        <v>483</v>
      </c>
      <c r="L3" s="73" t="s">
        <v>650</v>
      </c>
      <c r="M3" s="101" t="s">
        <v>483</v>
      </c>
      <c r="N3" s="100" t="s">
        <v>484</v>
      </c>
      <c r="O3" s="73" t="s">
        <v>483</v>
      </c>
      <c r="P3" s="73" t="s">
        <v>485</v>
      </c>
      <c r="Q3" s="73" t="s">
        <v>483</v>
      </c>
      <c r="R3" s="73" t="s">
        <v>1003</v>
      </c>
      <c r="S3" s="101" t="s">
        <v>483</v>
      </c>
    </row>
    <row r="4" spans="1:19" ht="18.75">
      <c r="A4" s="111">
        <v>1</v>
      </c>
      <c r="B4" s="102" t="s">
        <v>743</v>
      </c>
      <c r="C4" s="35" t="s">
        <v>703</v>
      </c>
      <c r="D4" s="35"/>
      <c r="E4" s="35"/>
      <c r="F4" s="35"/>
      <c r="G4" s="103"/>
      <c r="H4" s="102" t="s">
        <v>743</v>
      </c>
      <c r="I4" s="35" t="s">
        <v>703</v>
      </c>
      <c r="J4" s="35"/>
      <c r="K4" s="35"/>
      <c r="L4" s="35"/>
      <c r="M4" s="103"/>
      <c r="N4" s="102" t="s">
        <v>581</v>
      </c>
      <c r="O4" s="35" t="s">
        <v>703</v>
      </c>
      <c r="P4" s="35"/>
      <c r="Q4" s="35"/>
      <c r="R4" s="35"/>
      <c r="S4" s="103"/>
    </row>
    <row r="5" spans="1:19" ht="18.75">
      <c r="A5" s="112"/>
      <c r="B5" s="104"/>
      <c r="C5" s="34"/>
      <c r="D5" s="34"/>
      <c r="E5" s="34"/>
      <c r="F5" s="34"/>
      <c r="G5" s="105"/>
      <c r="H5" s="104"/>
      <c r="I5" s="34"/>
      <c r="J5" s="34"/>
      <c r="K5" s="34"/>
      <c r="L5" s="34"/>
      <c r="M5" s="105"/>
      <c r="N5" s="104"/>
      <c r="O5" s="34"/>
      <c r="P5" s="34"/>
      <c r="Q5" s="34"/>
      <c r="R5" s="34"/>
      <c r="S5" s="105"/>
    </row>
    <row r="6" spans="1:19" ht="18.75">
      <c r="A6" s="111">
        <v>2</v>
      </c>
      <c r="B6" s="102" t="s">
        <v>573</v>
      </c>
      <c r="C6" s="35" t="s">
        <v>796</v>
      </c>
      <c r="D6" s="35"/>
      <c r="E6" s="35"/>
      <c r="F6" s="35"/>
      <c r="G6" s="103"/>
      <c r="H6" s="102" t="s">
        <v>573</v>
      </c>
      <c r="I6" s="35" t="s">
        <v>796</v>
      </c>
      <c r="J6" s="35"/>
      <c r="K6" s="35"/>
      <c r="L6" s="35"/>
      <c r="M6" s="103"/>
      <c r="N6" s="102" t="s">
        <v>573</v>
      </c>
      <c r="O6" s="35" t="s">
        <v>796</v>
      </c>
      <c r="P6" s="35"/>
      <c r="Q6" s="35"/>
      <c r="R6" s="35"/>
      <c r="S6" s="103"/>
    </row>
    <row r="7" spans="1:19" ht="18.75">
      <c r="A7" s="112"/>
      <c r="B7" s="104"/>
      <c r="C7" s="34"/>
      <c r="D7" s="34"/>
      <c r="E7" s="34"/>
      <c r="F7" s="34"/>
      <c r="G7" s="105"/>
      <c r="H7" s="104"/>
      <c r="I7" s="34"/>
      <c r="J7" s="34"/>
      <c r="K7" s="34"/>
      <c r="L7" s="34"/>
      <c r="M7" s="105"/>
      <c r="N7" s="104"/>
      <c r="O7" s="34"/>
      <c r="P7" s="34"/>
      <c r="Q7" s="34"/>
      <c r="R7" s="34"/>
      <c r="S7" s="105"/>
    </row>
    <row r="8" spans="1:19" ht="18.75">
      <c r="A8" s="111">
        <v>3</v>
      </c>
      <c r="B8" s="102" t="s">
        <v>584</v>
      </c>
      <c r="C8" s="35" t="s">
        <v>703</v>
      </c>
      <c r="D8" s="35"/>
      <c r="E8" s="35"/>
      <c r="F8" s="35"/>
      <c r="G8" s="103"/>
      <c r="H8" s="102" t="s">
        <v>584</v>
      </c>
      <c r="I8" s="35" t="s">
        <v>703</v>
      </c>
      <c r="J8" s="35"/>
      <c r="K8" s="35"/>
      <c r="L8" s="35"/>
      <c r="M8" s="103"/>
      <c r="N8" s="102" t="s">
        <v>584</v>
      </c>
      <c r="O8" s="35" t="s">
        <v>703</v>
      </c>
      <c r="P8" s="35"/>
      <c r="Q8" s="35"/>
      <c r="R8" s="35"/>
      <c r="S8" s="103"/>
    </row>
    <row r="9" spans="1:19" ht="18.75">
      <c r="A9" s="112"/>
      <c r="B9" s="104"/>
      <c r="C9" s="34"/>
      <c r="D9" s="34"/>
      <c r="E9" s="34"/>
      <c r="F9" s="34"/>
      <c r="G9" s="105"/>
      <c r="H9" s="104"/>
      <c r="I9" s="34"/>
      <c r="J9" s="34"/>
      <c r="K9" s="34"/>
      <c r="L9" s="34"/>
      <c r="M9" s="105"/>
      <c r="N9" s="104"/>
      <c r="O9" s="34"/>
      <c r="P9" s="34"/>
      <c r="Q9" s="34"/>
      <c r="R9" s="34"/>
      <c r="S9" s="105"/>
    </row>
    <row r="10" spans="1:19" ht="18.75">
      <c r="A10" s="111">
        <v>4</v>
      </c>
      <c r="B10" s="102" t="s">
        <v>574</v>
      </c>
      <c r="C10" s="35" t="s">
        <v>702</v>
      </c>
      <c r="D10" s="35"/>
      <c r="E10" s="35"/>
      <c r="F10" s="35"/>
      <c r="G10" s="103"/>
      <c r="H10" s="102" t="s">
        <v>574</v>
      </c>
      <c r="I10" s="35" t="s">
        <v>702</v>
      </c>
      <c r="J10" s="35"/>
      <c r="K10" s="35"/>
      <c r="L10" s="35"/>
      <c r="M10" s="103"/>
      <c r="N10" s="102" t="s">
        <v>574</v>
      </c>
      <c r="O10" s="35" t="s">
        <v>702</v>
      </c>
      <c r="P10" s="35"/>
      <c r="Q10" s="35"/>
      <c r="R10" s="35"/>
      <c r="S10" s="103"/>
    </row>
    <row r="11" spans="1:19" ht="18.75">
      <c r="A11" s="112"/>
      <c r="B11" s="104"/>
      <c r="C11" s="34"/>
      <c r="D11" s="34"/>
      <c r="E11" s="34"/>
      <c r="F11" s="34"/>
      <c r="G11" s="105"/>
      <c r="H11" s="104"/>
      <c r="I11" s="34"/>
      <c r="J11" s="34"/>
      <c r="K11" s="34"/>
      <c r="L11" s="34"/>
      <c r="M11" s="105"/>
      <c r="N11" s="104"/>
      <c r="O11" s="34"/>
      <c r="P11" s="34"/>
      <c r="Q11" s="34"/>
      <c r="R11" s="34"/>
      <c r="S11" s="105"/>
    </row>
    <row r="12" spans="1:19" ht="18.75">
      <c r="A12" s="111">
        <v>5</v>
      </c>
      <c r="B12" s="102" t="s">
        <v>582</v>
      </c>
      <c r="C12" s="35" t="s">
        <v>703</v>
      </c>
      <c r="D12" s="35"/>
      <c r="E12" s="35"/>
      <c r="F12" s="35"/>
      <c r="G12" s="103"/>
      <c r="H12" s="102" t="s">
        <v>582</v>
      </c>
      <c r="I12" s="35" t="s">
        <v>703</v>
      </c>
      <c r="J12" s="35"/>
      <c r="K12" s="35"/>
      <c r="L12" s="35"/>
      <c r="M12" s="103"/>
      <c r="N12" s="102" t="s">
        <v>582</v>
      </c>
      <c r="O12" s="35" t="s">
        <v>703</v>
      </c>
      <c r="P12" s="35"/>
      <c r="Q12" s="35"/>
      <c r="R12" s="35"/>
      <c r="S12" s="103"/>
    </row>
    <row r="13" spans="1:19" ht="18.75">
      <c r="A13" s="112"/>
      <c r="B13" s="104"/>
      <c r="C13" s="34"/>
      <c r="D13" s="34"/>
      <c r="E13" s="34"/>
      <c r="F13" s="34"/>
      <c r="G13" s="105"/>
      <c r="H13" s="104"/>
      <c r="I13" s="34"/>
      <c r="J13" s="34"/>
      <c r="K13" s="34"/>
      <c r="L13" s="34"/>
      <c r="M13" s="105"/>
      <c r="N13" s="104"/>
      <c r="O13" s="34"/>
      <c r="P13" s="34"/>
      <c r="Q13" s="34"/>
      <c r="R13" s="34"/>
      <c r="S13" s="105"/>
    </row>
    <row r="14" spans="1:19" ht="18.75">
      <c r="A14" s="111">
        <v>6</v>
      </c>
      <c r="B14" s="102" t="s">
        <v>567</v>
      </c>
      <c r="C14" s="35" t="s">
        <v>192</v>
      </c>
      <c r="D14" s="35" t="s">
        <v>238</v>
      </c>
      <c r="E14" s="35" t="s">
        <v>648</v>
      </c>
      <c r="F14" s="35"/>
      <c r="G14" s="103"/>
      <c r="H14" s="102" t="s">
        <v>546</v>
      </c>
      <c r="I14" s="35" t="s">
        <v>192</v>
      </c>
      <c r="J14" s="35" t="s">
        <v>238</v>
      </c>
      <c r="K14" s="35" t="s">
        <v>648</v>
      </c>
      <c r="L14" s="35"/>
      <c r="M14" s="103"/>
      <c r="N14" s="102" t="s">
        <v>546</v>
      </c>
      <c r="O14" s="35"/>
      <c r="P14" s="35" t="s">
        <v>238</v>
      </c>
      <c r="Q14" s="35" t="s">
        <v>648</v>
      </c>
      <c r="R14" s="35"/>
      <c r="S14" s="103"/>
    </row>
    <row r="15" spans="1:19" ht="18.75">
      <c r="A15" s="112"/>
      <c r="B15" s="104"/>
      <c r="C15" s="34"/>
      <c r="D15" s="34"/>
      <c r="E15" s="34"/>
      <c r="F15" s="34"/>
      <c r="G15" s="105"/>
      <c r="H15" s="104"/>
      <c r="I15" s="34"/>
      <c r="J15" s="34"/>
      <c r="K15" s="34"/>
      <c r="L15" s="34"/>
      <c r="M15" s="105"/>
      <c r="N15" s="104"/>
      <c r="O15" s="34"/>
      <c r="P15" s="34"/>
      <c r="Q15" s="34"/>
      <c r="R15" s="34"/>
      <c r="S15" s="105"/>
    </row>
    <row r="16" spans="1:19" ht="18.75">
      <c r="A16" s="111">
        <v>7</v>
      </c>
      <c r="B16" s="102" t="s">
        <v>546</v>
      </c>
      <c r="C16" s="35" t="s">
        <v>192</v>
      </c>
      <c r="D16" s="35" t="s">
        <v>585</v>
      </c>
      <c r="E16" s="35" t="s">
        <v>579</v>
      </c>
      <c r="F16" s="35"/>
      <c r="G16" s="103"/>
      <c r="H16" s="102" t="s">
        <v>546</v>
      </c>
      <c r="I16" s="35" t="s">
        <v>192</v>
      </c>
      <c r="J16" s="35" t="s">
        <v>585</v>
      </c>
      <c r="K16" s="35" t="s">
        <v>579</v>
      </c>
      <c r="L16" s="35"/>
      <c r="M16" s="103"/>
      <c r="N16" s="102" t="s">
        <v>546</v>
      </c>
      <c r="O16" s="35"/>
      <c r="P16" s="35" t="s">
        <v>585</v>
      </c>
      <c r="Q16" s="35" t="s">
        <v>579</v>
      </c>
      <c r="R16" s="35"/>
      <c r="S16" s="103"/>
    </row>
    <row r="17" spans="1:19" ht="18.75">
      <c r="A17" s="112"/>
      <c r="B17" s="104"/>
      <c r="C17" s="34"/>
      <c r="D17" s="34"/>
      <c r="E17" s="34"/>
      <c r="F17" s="34"/>
      <c r="G17" s="105"/>
      <c r="H17" s="104"/>
      <c r="I17" s="34"/>
      <c r="J17" s="34"/>
      <c r="K17" s="34"/>
      <c r="L17" s="34"/>
      <c r="M17" s="105"/>
      <c r="N17" s="104"/>
      <c r="O17" s="34"/>
      <c r="P17" s="34"/>
      <c r="Q17" s="34"/>
      <c r="R17" s="34"/>
      <c r="S17" s="105"/>
    </row>
    <row r="18" spans="1:19" ht="18.75">
      <c r="A18" s="113">
        <v>8</v>
      </c>
      <c r="B18" s="106" t="s">
        <v>569</v>
      </c>
      <c r="C18" s="107" t="s">
        <v>192</v>
      </c>
      <c r="D18" s="107" t="s">
        <v>584</v>
      </c>
      <c r="E18" s="107" t="s">
        <v>579</v>
      </c>
      <c r="F18" s="107"/>
      <c r="G18" s="108"/>
      <c r="H18" s="106" t="s">
        <v>569</v>
      </c>
      <c r="I18" s="107" t="s">
        <v>192</v>
      </c>
      <c r="J18" s="107" t="s">
        <v>584</v>
      </c>
      <c r="K18" s="107" t="s">
        <v>579</v>
      </c>
      <c r="L18" s="107"/>
      <c r="M18" s="108"/>
      <c r="N18" s="106" t="s">
        <v>569</v>
      </c>
      <c r="O18" s="107"/>
      <c r="P18" s="107" t="s">
        <v>584</v>
      </c>
      <c r="Q18" s="107" t="s">
        <v>579</v>
      </c>
      <c r="R18" s="107"/>
      <c r="S18" s="108"/>
    </row>
    <row r="19" spans="1:19" ht="26.25">
      <c r="A19" s="187" t="s">
        <v>490</v>
      </c>
      <c r="B19" s="188"/>
    </row>
    <row r="20" spans="1:19" ht="18.75">
      <c r="A20" s="109"/>
      <c r="B20" s="184" t="s">
        <v>480</v>
      </c>
      <c r="C20" s="185"/>
      <c r="D20" s="185"/>
      <c r="E20" s="185"/>
      <c r="F20" s="185"/>
      <c r="G20" s="186"/>
      <c r="H20" s="184" t="s">
        <v>481</v>
      </c>
      <c r="I20" s="185"/>
      <c r="J20" s="185"/>
      <c r="K20" s="185"/>
      <c r="L20" s="185"/>
      <c r="M20" s="186"/>
      <c r="N20" s="184" t="s">
        <v>482</v>
      </c>
      <c r="O20" s="185"/>
      <c r="P20" s="185"/>
      <c r="Q20" s="185"/>
      <c r="R20" s="185"/>
      <c r="S20" s="186"/>
    </row>
    <row r="21" spans="1:19" ht="18.75">
      <c r="A21" s="110"/>
      <c r="B21" s="100" t="s">
        <v>484</v>
      </c>
      <c r="C21" s="73" t="s">
        <v>483</v>
      </c>
      <c r="D21" s="73" t="s">
        <v>485</v>
      </c>
      <c r="E21" s="73" t="s">
        <v>483</v>
      </c>
      <c r="F21" s="73" t="s">
        <v>650</v>
      </c>
      <c r="G21" s="101" t="s">
        <v>483</v>
      </c>
      <c r="H21" s="100" t="s">
        <v>484</v>
      </c>
      <c r="I21" s="73" t="s">
        <v>483</v>
      </c>
      <c r="J21" s="73" t="s">
        <v>485</v>
      </c>
      <c r="K21" s="73" t="s">
        <v>483</v>
      </c>
      <c r="L21" s="73" t="s">
        <v>650</v>
      </c>
      <c r="M21" s="101" t="s">
        <v>483</v>
      </c>
      <c r="N21" s="100" t="s">
        <v>484</v>
      </c>
      <c r="O21" s="73" t="s">
        <v>483</v>
      </c>
      <c r="P21" s="73" t="s">
        <v>485</v>
      </c>
      <c r="Q21" s="73" t="s">
        <v>483</v>
      </c>
      <c r="R21" s="73" t="s">
        <v>650</v>
      </c>
      <c r="S21" s="101" t="s">
        <v>483</v>
      </c>
    </row>
    <row r="22" spans="1:19" ht="18.75">
      <c r="A22" s="111">
        <v>1</v>
      </c>
      <c r="B22" s="102" t="s">
        <v>602</v>
      </c>
      <c r="C22" s="35" t="s">
        <v>635</v>
      </c>
      <c r="D22" s="35" t="s">
        <v>0</v>
      </c>
      <c r="E22" s="35"/>
      <c r="F22" s="35"/>
      <c r="G22" s="103"/>
      <c r="H22" s="102" t="s">
        <v>637</v>
      </c>
      <c r="I22" s="35" t="s">
        <v>578</v>
      </c>
      <c r="J22" s="35" t="s">
        <v>930</v>
      </c>
      <c r="K22" s="35" t="s">
        <v>1005</v>
      </c>
      <c r="L22" s="35"/>
      <c r="M22" s="103"/>
      <c r="N22" s="102" t="s">
        <v>880</v>
      </c>
      <c r="O22" s="35" t="s">
        <v>605</v>
      </c>
      <c r="P22" s="35" t="s">
        <v>486</v>
      </c>
      <c r="Q22" s="35" t="s">
        <v>636</v>
      </c>
      <c r="R22" s="35"/>
      <c r="S22" s="103"/>
    </row>
    <row r="23" spans="1:19" ht="18.75">
      <c r="A23" s="112"/>
      <c r="B23" s="104"/>
      <c r="C23" s="34"/>
      <c r="D23" s="34"/>
      <c r="E23" s="34"/>
      <c r="F23" s="34"/>
      <c r="G23" s="105"/>
      <c r="H23" s="104"/>
      <c r="I23" s="34"/>
      <c r="J23" s="34"/>
      <c r="K23" s="34"/>
      <c r="L23" s="34"/>
      <c r="M23" s="105"/>
      <c r="N23" s="104"/>
      <c r="O23" s="34"/>
      <c r="P23" s="34"/>
      <c r="Q23" s="34"/>
      <c r="R23" s="34"/>
      <c r="S23" s="105"/>
    </row>
    <row r="24" spans="1:19" ht="18.75">
      <c r="A24" s="111">
        <v>2</v>
      </c>
      <c r="B24" s="102" t="s">
        <v>627</v>
      </c>
      <c r="C24" s="35" t="s">
        <v>640</v>
      </c>
      <c r="D24" s="35" t="s">
        <v>0</v>
      </c>
      <c r="E24" s="35"/>
      <c r="F24" s="35"/>
      <c r="G24" s="103"/>
      <c r="H24" s="102" t="s">
        <v>1004</v>
      </c>
      <c r="I24" s="35" t="s">
        <v>578</v>
      </c>
      <c r="J24" s="35" t="s">
        <v>930</v>
      </c>
      <c r="K24" s="35" t="s">
        <v>1005</v>
      </c>
      <c r="L24" s="35"/>
      <c r="M24" s="103"/>
      <c r="N24" s="102" t="s">
        <v>570</v>
      </c>
      <c r="O24" s="35" t="s">
        <v>28</v>
      </c>
      <c r="P24" s="35" t="s">
        <v>486</v>
      </c>
      <c r="Q24" s="35" t="s">
        <v>636</v>
      </c>
      <c r="R24" s="35"/>
      <c r="S24" s="103"/>
    </row>
    <row r="25" spans="1:19" ht="18.75">
      <c r="A25" s="112"/>
      <c r="B25" s="104"/>
      <c r="C25" s="34"/>
      <c r="D25" s="34"/>
      <c r="E25" s="34"/>
      <c r="F25" s="34"/>
      <c r="G25" s="105"/>
      <c r="H25" s="104"/>
      <c r="I25" s="34"/>
      <c r="J25" s="34"/>
      <c r="K25" s="34"/>
      <c r="L25" s="34"/>
      <c r="M25" s="105"/>
      <c r="N25" s="104"/>
      <c r="O25" s="34"/>
      <c r="P25" s="34"/>
      <c r="Q25" s="34"/>
      <c r="R25" s="34"/>
      <c r="S25" s="105"/>
    </row>
    <row r="26" spans="1:19" ht="18.75">
      <c r="A26" s="111">
        <v>3</v>
      </c>
      <c r="B26" s="102" t="s">
        <v>603</v>
      </c>
      <c r="C26" s="35" t="s">
        <v>635</v>
      </c>
      <c r="D26" s="35" t="s">
        <v>0</v>
      </c>
      <c r="E26" s="35"/>
      <c r="F26" s="35"/>
      <c r="G26" s="103"/>
      <c r="H26" s="102" t="s">
        <v>881</v>
      </c>
      <c r="I26" s="35" t="s">
        <v>578</v>
      </c>
      <c r="J26" s="35" t="s">
        <v>1007</v>
      </c>
      <c r="K26" s="35" t="s">
        <v>649</v>
      </c>
      <c r="L26" s="35"/>
      <c r="M26" s="103"/>
      <c r="N26" s="102"/>
      <c r="O26" s="35" t="s">
        <v>605</v>
      </c>
      <c r="P26" s="35" t="s">
        <v>606</v>
      </c>
      <c r="Q26" s="35" t="s">
        <v>593</v>
      </c>
      <c r="R26" s="35" t="s">
        <v>988</v>
      </c>
      <c r="S26" s="103"/>
    </row>
    <row r="27" spans="1:19" ht="18.75">
      <c r="A27" s="112"/>
      <c r="B27" s="104"/>
      <c r="C27" s="34"/>
      <c r="D27" s="34"/>
      <c r="E27" s="34"/>
      <c r="F27" s="34"/>
      <c r="G27" s="105"/>
      <c r="H27" s="104"/>
      <c r="I27" s="34"/>
      <c r="J27" s="34"/>
      <c r="K27" s="34"/>
      <c r="L27" s="34"/>
      <c r="M27" s="105"/>
      <c r="N27" s="104"/>
      <c r="O27" s="34"/>
      <c r="P27" s="34"/>
      <c r="Q27" s="34"/>
      <c r="R27" s="34"/>
      <c r="S27" s="105"/>
    </row>
    <row r="28" spans="1:19" ht="18.75">
      <c r="A28" s="111">
        <v>4</v>
      </c>
      <c r="B28" s="102" t="s">
        <v>626</v>
      </c>
      <c r="C28" s="35" t="s">
        <v>640</v>
      </c>
      <c r="D28" s="35" t="s">
        <v>372</v>
      </c>
      <c r="E28" s="35"/>
      <c r="F28" s="35"/>
      <c r="G28" s="103"/>
      <c r="H28" s="102" t="s">
        <v>638</v>
      </c>
      <c r="I28" s="35" t="s">
        <v>578</v>
      </c>
      <c r="J28" s="35" t="s">
        <v>661</v>
      </c>
      <c r="K28" s="35" t="s">
        <v>649</v>
      </c>
      <c r="L28" s="35"/>
      <c r="M28" s="103"/>
      <c r="N28" s="102"/>
      <c r="O28" s="35" t="s">
        <v>605</v>
      </c>
      <c r="P28" s="35" t="s">
        <v>606</v>
      </c>
      <c r="Q28" s="35" t="s">
        <v>593</v>
      </c>
      <c r="R28" s="35" t="s">
        <v>989</v>
      </c>
      <c r="S28" s="103" t="s">
        <v>987</v>
      </c>
    </row>
    <row r="29" spans="1:19" ht="18.75">
      <c r="A29" s="112"/>
      <c r="B29" s="104"/>
      <c r="C29" s="34"/>
      <c r="D29" s="34"/>
      <c r="E29" s="34"/>
      <c r="F29" s="34"/>
      <c r="G29" s="105"/>
      <c r="H29" s="104"/>
      <c r="I29" s="34"/>
      <c r="J29" s="34"/>
      <c r="K29" s="34"/>
      <c r="L29" s="34"/>
      <c r="M29" s="105"/>
      <c r="N29" s="104"/>
      <c r="O29" s="34"/>
      <c r="P29" s="34"/>
      <c r="Q29" s="34"/>
      <c r="R29" s="34"/>
      <c r="S29" s="105"/>
    </row>
    <row r="30" spans="1:19" ht="18.75">
      <c r="A30" s="111">
        <v>5</v>
      </c>
      <c r="B30" s="102" t="s">
        <v>669</v>
      </c>
      <c r="C30" s="35" t="s">
        <v>641</v>
      </c>
      <c r="D30" s="35" t="s">
        <v>985</v>
      </c>
      <c r="E30" s="35"/>
      <c r="F30" s="35"/>
      <c r="G30" s="103"/>
      <c r="H30" s="102" t="s">
        <v>561</v>
      </c>
      <c r="I30" s="35" t="s">
        <v>578</v>
      </c>
      <c r="J30" s="35" t="s">
        <v>828</v>
      </c>
      <c r="K30" s="35" t="s">
        <v>648</v>
      </c>
      <c r="L30" s="35" t="s">
        <v>986</v>
      </c>
      <c r="M30" s="103" t="s">
        <v>987</v>
      </c>
      <c r="N30" s="102" t="s">
        <v>546</v>
      </c>
      <c r="O30" s="35" t="s">
        <v>757</v>
      </c>
      <c r="P30" s="35" t="s">
        <v>146</v>
      </c>
      <c r="Q30" s="35" t="s">
        <v>914</v>
      </c>
      <c r="R30" s="35" t="s">
        <v>301</v>
      </c>
      <c r="S30" s="103" t="s">
        <v>987</v>
      </c>
    </row>
    <row r="31" spans="1:19" ht="18.75">
      <c r="A31" s="112"/>
      <c r="B31" s="104"/>
      <c r="C31" s="34"/>
      <c r="D31" s="34"/>
      <c r="E31" s="34"/>
      <c r="F31" s="34"/>
      <c r="G31" s="105"/>
      <c r="H31" s="104"/>
      <c r="I31" s="34"/>
      <c r="J31" s="34"/>
      <c r="K31" s="34"/>
      <c r="L31" s="34"/>
      <c r="M31" s="105"/>
      <c r="N31" s="104"/>
      <c r="O31" s="34"/>
      <c r="P31" s="34"/>
      <c r="Q31" s="34"/>
      <c r="R31" s="34"/>
      <c r="S31" s="105"/>
    </row>
    <row r="32" spans="1:19" ht="18.75">
      <c r="A32" s="111">
        <v>6</v>
      </c>
      <c r="B32" s="102" t="s">
        <v>639</v>
      </c>
      <c r="C32" s="35" t="s">
        <v>912</v>
      </c>
      <c r="D32" s="35" t="s">
        <v>928</v>
      </c>
      <c r="E32" s="35"/>
      <c r="F32" s="35"/>
      <c r="G32" s="103"/>
      <c r="H32" s="102" t="s">
        <v>561</v>
      </c>
      <c r="I32" s="35" t="s">
        <v>578</v>
      </c>
      <c r="J32" s="35" t="s">
        <v>828</v>
      </c>
      <c r="K32" s="35" t="s">
        <v>648</v>
      </c>
      <c r="L32" s="35" t="s">
        <v>250</v>
      </c>
      <c r="M32" s="103" t="s">
        <v>987</v>
      </c>
      <c r="N32" s="102" t="s">
        <v>678</v>
      </c>
      <c r="O32" s="35" t="s">
        <v>604</v>
      </c>
      <c r="P32" s="35" t="s">
        <v>879</v>
      </c>
      <c r="Q32" s="35" t="s">
        <v>648</v>
      </c>
      <c r="R32" s="35" t="s">
        <v>250</v>
      </c>
      <c r="S32" s="103" t="s">
        <v>987</v>
      </c>
    </row>
    <row r="33" spans="1:19" ht="18.75">
      <c r="A33" s="112"/>
      <c r="B33" s="104"/>
      <c r="C33" s="34"/>
      <c r="D33" s="34"/>
      <c r="E33" s="34"/>
      <c r="F33" s="34"/>
      <c r="G33" s="105"/>
      <c r="H33" s="104"/>
      <c r="I33" s="34"/>
      <c r="J33" s="34"/>
      <c r="K33" s="34"/>
      <c r="L33" s="34"/>
      <c r="M33" s="105"/>
      <c r="N33" s="104"/>
      <c r="O33" s="34"/>
      <c r="P33" s="34"/>
      <c r="Q33" s="34"/>
      <c r="R33" s="34"/>
      <c r="S33" s="105"/>
    </row>
    <row r="34" spans="1:19" ht="18.75">
      <c r="A34" s="111">
        <v>7</v>
      </c>
      <c r="B34" s="102" t="s">
        <v>146</v>
      </c>
      <c r="C34" s="35" t="s">
        <v>923</v>
      </c>
      <c r="D34" s="35" t="s">
        <v>320</v>
      </c>
      <c r="E34" s="35"/>
      <c r="F34" s="35"/>
      <c r="G34" s="103"/>
      <c r="H34" s="102" t="s">
        <v>559</v>
      </c>
      <c r="I34" s="35" t="s">
        <v>578</v>
      </c>
      <c r="J34" s="35" t="s">
        <v>191</v>
      </c>
      <c r="K34" s="35" t="s">
        <v>913</v>
      </c>
      <c r="L34" s="35"/>
      <c r="M34" s="103"/>
      <c r="N34" s="102" t="s">
        <v>679</v>
      </c>
      <c r="O34" s="35" t="s">
        <v>604</v>
      </c>
      <c r="P34" s="35" t="s">
        <v>592</v>
      </c>
      <c r="Q34" s="35" t="s">
        <v>648</v>
      </c>
      <c r="R34" s="35" t="s">
        <v>960</v>
      </c>
      <c r="S34" s="103" t="s">
        <v>987</v>
      </c>
    </row>
    <row r="35" spans="1:19" ht="18.75">
      <c r="A35" s="112"/>
      <c r="B35" s="104"/>
      <c r="C35" s="34"/>
      <c r="D35" s="34"/>
      <c r="E35" s="34"/>
      <c r="F35" s="34"/>
      <c r="G35" s="105"/>
      <c r="H35" s="104"/>
      <c r="I35" s="34"/>
      <c r="J35" s="34"/>
      <c r="K35" s="34"/>
      <c r="L35" s="34"/>
      <c r="M35" s="105"/>
      <c r="N35" s="104"/>
      <c r="O35" s="34"/>
      <c r="P35" s="34"/>
      <c r="Q35" s="34"/>
      <c r="R35" s="34"/>
      <c r="S35" s="105"/>
    </row>
    <row r="36" spans="1:19" ht="18.75">
      <c r="A36" s="113">
        <v>8</v>
      </c>
      <c r="B36" s="106" t="s">
        <v>911</v>
      </c>
      <c r="C36" s="107" t="s">
        <v>28</v>
      </c>
      <c r="D36" s="107" t="s">
        <v>320</v>
      </c>
      <c r="E36" s="107"/>
      <c r="F36" s="107"/>
      <c r="G36" s="108"/>
      <c r="H36" s="106" t="s">
        <v>559</v>
      </c>
      <c r="I36" s="107" t="s">
        <v>578</v>
      </c>
      <c r="J36" s="107" t="s">
        <v>589</v>
      </c>
      <c r="K36" s="107" t="s">
        <v>913</v>
      </c>
      <c r="L36" s="107"/>
      <c r="M36" s="108"/>
      <c r="N36" s="106" t="s">
        <v>679</v>
      </c>
      <c r="O36" s="107" t="s">
        <v>604</v>
      </c>
      <c r="P36" s="107" t="s">
        <v>592</v>
      </c>
      <c r="Q36" s="107" t="s">
        <v>648</v>
      </c>
      <c r="R36" s="107" t="s">
        <v>963</v>
      </c>
      <c r="S36" s="108" t="s">
        <v>987</v>
      </c>
    </row>
    <row r="37" spans="1:19" ht="26.25">
      <c r="A37" s="187" t="s">
        <v>489</v>
      </c>
      <c r="B37" s="189"/>
    </row>
    <row r="38" spans="1:19" ht="18.75">
      <c r="A38" s="109"/>
      <c r="B38" s="184" t="s">
        <v>480</v>
      </c>
      <c r="C38" s="185"/>
      <c r="D38" s="185"/>
      <c r="E38" s="185"/>
      <c r="F38" s="185"/>
      <c r="G38" s="186"/>
      <c r="H38" s="184" t="s">
        <v>481</v>
      </c>
      <c r="I38" s="185"/>
      <c r="J38" s="185"/>
      <c r="K38" s="185"/>
      <c r="L38" s="185"/>
      <c r="M38" s="186"/>
      <c r="N38" s="184" t="s">
        <v>482</v>
      </c>
      <c r="O38" s="185"/>
      <c r="P38" s="185"/>
      <c r="Q38" s="185"/>
      <c r="R38" s="185"/>
      <c r="S38" s="186"/>
    </row>
    <row r="39" spans="1:19" ht="18.75">
      <c r="A39" s="110"/>
      <c r="B39" s="100" t="s">
        <v>484</v>
      </c>
      <c r="C39" s="73" t="s">
        <v>483</v>
      </c>
      <c r="D39" s="73" t="s">
        <v>485</v>
      </c>
      <c r="E39" s="73" t="s">
        <v>483</v>
      </c>
      <c r="F39" s="73" t="s">
        <v>650</v>
      </c>
      <c r="G39" s="101" t="s">
        <v>483</v>
      </c>
      <c r="H39" s="100" t="s">
        <v>484</v>
      </c>
      <c r="I39" s="73" t="s">
        <v>483</v>
      </c>
      <c r="J39" s="73" t="s">
        <v>485</v>
      </c>
      <c r="K39" s="73" t="s">
        <v>483</v>
      </c>
      <c r="L39" s="73" t="s">
        <v>650</v>
      </c>
      <c r="M39" s="101" t="s">
        <v>483</v>
      </c>
      <c r="N39" s="100" t="s">
        <v>484</v>
      </c>
      <c r="O39" s="73" t="s">
        <v>483</v>
      </c>
      <c r="P39" s="73" t="s">
        <v>485</v>
      </c>
      <c r="Q39" s="73" t="s">
        <v>483</v>
      </c>
      <c r="R39" s="73" t="s">
        <v>650</v>
      </c>
      <c r="S39" s="101" t="s">
        <v>483</v>
      </c>
    </row>
    <row r="40" spans="1:19" ht="18.75">
      <c r="A40" s="111">
        <v>1</v>
      </c>
      <c r="B40" s="102" t="s">
        <v>587</v>
      </c>
      <c r="C40" s="35" t="s">
        <v>588</v>
      </c>
      <c r="D40" s="35" t="s">
        <v>915</v>
      </c>
      <c r="E40" s="35" t="s">
        <v>916</v>
      </c>
      <c r="F40" s="35" t="s">
        <v>301</v>
      </c>
      <c r="G40" s="103" t="s">
        <v>671</v>
      </c>
      <c r="H40" s="102" t="s">
        <v>673</v>
      </c>
      <c r="I40" s="35" t="s">
        <v>578</v>
      </c>
      <c r="J40" s="35" t="s">
        <v>371</v>
      </c>
      <c r="K40" s="35"/>
      <c r="L40" s="35"/>
      <c r="M40" s="103"/>
      <c r="N40" s="102" t="s">
        <v>608</v>
      </c>
      <c r="O40" s="35" t="s">
        <v>609</v>
      </c>
      <c r="P40" s="35" t="s">
        <v>589</v>
      </c>
      <c r="Q40" s="35" t="s">
        <v>922</v>
      </c>
      <c r="R40" s="35"/>
      <c r="S40" s="103"/>
    </row>
    <row r="41" spans="1:19" ht="18.75">
      <c r="A41" s="112"/>
      <c r="B41" s="104"/>
      <c r="C41" s="34"/>
      <c r="D41" s="34"/>
      <c r="E41" s="34"/>
      <c r="F41" s="34"/>
      <c r="G41" s="105"/>
      <c r="H41" s="104"/>
      <c r="I41" s="34"/>
      <c r="J41" s="34"/>
      <c r="K41" s="34"/>
      <c r="L41" s="34"/>
      <c r="M41" s="105"/>
      <c r="N41" s="104"/>
      <c r="O41" s="34"/>
      <c r="P41" s="34"/>
      <c r="Q41" s="34"/>
      <c r="R41" s="34"/>
      <c r="S41" s="105"/>
    </row>
    <row r="42" spans="1:19" ht="18.75">
      <c r="A42" s="111">
        <v>2</v>
      </c>
      <c r="B42" s="102" t="s">
        <v>587</v>
      </c>
      <c r="C42" s="35" t="s">
        <v>588</v>
      </c>
      <c r="D42" s="35" t="s">
        <v>917</v>
      </c>
      <c r="E42" s="35" t="s">
        <v>634</v>
      </c>
      <c r="F42" s="35" t="s">
        <v>301</v>
      </c>
      <c r="G42" s="103" t="s">
        <v>671</v>
      </c>
      <c r="H42" s="102" t="s">
        <v>673</v>
      </c>
      <c r="I42" s="35" t="s">
        <v>578</v>
      </c>
      <c r="J42" s="35" t="s">
        <v>371</v>
      </c>
      <c r="K42" s="35"/>
      <c r="L42" s="35"/>
      <c r="M42" s="103"/>
      <c r="N42" s="102" t="s">
        <v>608</v>
      </c>
      <c r="O42" s="35" t="s">
        <v>609</v>
      </c>
      <c r="P42" s="35" t="s">
        <v>995</v>
      </c>
      <c r="Q42" s="35" t="s">
        <v>996</v>
      </c>
      <c r="R42" s="35"/>
      <c r="S42" s="103"/>
    </row>
    <row r="43" spans="1:19" ht="18.75">
      <c r="A43" s="112"/>
      <c r="B43" s="104"/>
      <c r="C43" s="34"/>
      <c r="D43" s="34"/>
      <c r="E43" s="34"/>
      <c r="F43" s="34"/>
      <c r="G43" s="105"/>
      <c r="H43" s="104"/>
      <c r="I43" s="34"/>
      <c r="J43" s="34"/>
      <c r="K43" s="34"/>
      <c r="L43" s="34"/>
      <c r="M43" s="105"/>
      <c r="N43" s="104"/>
      <c r="O43" s="34"/>
      <c r="P43" s="34"/>
      <c r="Q43" s="34"/>
      <c r="R43" s="34"/>
      <c r="S43" s="105"/>
    </row>
    <row r="44" spans="1:19" ht="18.75">
      <c r="A44" s="111">
        <v>3</v>
      </c>
      <c r="B44" s="102" t="s">
        <v>587</v>
      </c>
      <c r="C44" s="35" t="s">
        <v>588</v>
      </c>
      <c r="D44" s="35" t="s">
        <v>918</v>
      </c>
      <c r="E44" s="35" t="s">
        <v>167</v>
      </c>
      <c r="F44" s="35" t="s">
        <v>301</v>
      </c>
      <c r="G44" s="103" t="s">
        <v>671</v>
      </c>
      <c r="H44" s="102" t="s">
        <v>620</v>
      </c>
      <c r="I44" s="35" t="s">
        <v>619</v>
      </c>
      <c r="J44" s="35" t="s">
        <v>661</v>
      </c>
      <c r="K44" s="35" t="s">
        <v>664</v>
      </c>
      <c r="L44" s="35"/>
      <c r="M44" s="103"/>
      <c r="N44" s="102" t="s">
        <v>608</v>
      </c>
      <c r="O44" s="35" t="s">
        <v>609</v>
      </c>
      <c r="P44" s="35" t="s">
        <v>373</v>
      </c>
      <c r="Q44" s="35" t="s">
        <v>922</v>
      </c>
      <c r="R44" s="35"/>
      <c r="S44" s="103"/>
    </row>
    <row r="45" spans="1:19" ht="18.75">
      <c r="A45" s="112"/>
      <c r="B45" s="104"/>
      <c r="C45" s="34"/>
      <c r="D45" s="34"/>
      <c r="E45" s="34"/>
      <c r="F45" s="34"/>
      <c r="G45" s="105"/>
      <c r="H45" s="104"/>
      <c r="I45" s="34"/>
      <c r="J45" s="34"/>
      <c r="K45" s="34"/>
      <c r="L45" s="34"/>
      <c r="M45" s="105"/>
      <c r="N45" s="104"/>
      <c r="O45" s="34"/>
      <c r="P45" s="34"/>
      <c r="Q45" s="34"/>
      <c r="R45" s="34"/>
      <c r="S45" s="105"/>
    </row>
    <row r="46" spans="1:19" ht="18.75">
      <c r="A46" s="111">
        <v>4</v>
      </c>
      <c r="B46" s="102" t="s">
        <v>587</v>
      </c>
      <c r="C46" s="35" t="s">
        <v>588</v>
      </c>
      <c r="D46" s="35" t="s">
        <v>669</v>
      </c>
      <c r="E46" s="35" t="s">
        <v>634</v>
      </c>
      <c r="F46" s="35"/>
      <c r="G46" s="103"/>
      <c r="H46" s="102" t="s">
        <v>620</v>
      </c>
      <c r="I46" s="35" t="s">
        <v>619</v>
      </c>
      <c r="J46" s="35" t="s">
        <v>661</v>
      </c>
      <c r="K46" s="35" t="s">
        <v>664</v>
      </c>
      <c r="L46" s="35"/>
      <c r="M46" s="103"/>
      <c r="N46" s="102" t="s">
        <v>586</v>
      </c>
      <c r="O46" s="35" t="s">
        <v>609</v>
      </c>
      <c r="P46" s="35" t="s">
        <v>52</v>
      </c>
      <c r="Q46" s="35" t="s">
        <v>922</v>
      </c>
      <c r="R46" s="35"/>
      <c r="S46" s="103"/>
    </row>
    <row r="47" spans="1:19" ht="18.75">
      <c r="A47" s="112"/>
      <c r="B47" s="104"/>
      <c r="C47" s="34"/>
      <c r="D47" s="34"/>
      <c r="E47" s="34"/>
      <c r="F47" s="34"/>
      <c r="G47" s="105"/>
      <c r="H47" s="104"/>
      <c r="I47" s="34"/>
      <c r="J47" s="34"/>
      <c r="K47" s="34"/>
      <c r="L47" s="34"/>
      <c r="M47" s="105"/>
      <c r="N47" s="104"/>
      <c r="O47" s="34"/>
      <c r="P47" s="34"/>
      <c r="Q47" s="34"/>
      <c r="R47" s="34"/>
      <c r="S47" s="105"/>
    </row>
    <row r="48" spans="1:19" ht="18.75">
      <c r="A48" s="111">
        <v>5</v>
      </c>
      <c r="B48" s="102" t="s">
        <v>587</v>
      </c>
      <c r="C48" s="35" t="s">
        <v>588</v>
      </c>
      <c r="D48" s="35" t="s">
        <v>919</v>
      </c>
      <c r="E48" s="35" t="s">
        <v>632</v>
      </c>
      <c r="F48" s="35"/>
      <c r="G48" s="103"/>
      <c r="H48" s="102" t="s">
        <v>589</v>
      </c>
      <c r="I48" s="35" t="s">
        <v>241</v>
      </c>
      <c r="J48" s="35" t="s">
        <v>273</v>
      </c>
      <c r="K48" s="35" t="s">
        <v>664</v>
      </c>
      <c r="L48" s="35"/>
      <c r="M48" s="103"/>
      <c r="N48" s="102" t="s">
        <v>586</v>
      </c>
      <c r="O48" s="35" t="s">
        <v>607</v>
      </c>
      <c r="P48" s="35" t="s">
        <v>1008</v>
      </c>
      <c r="Q48" s="35" t="s">
        <v>922</v>
      </c>
      <c r="R48" s="35"/>
      <c r="S48" s="103"/>
    </row>
    <row r="49" spans="1:19" ht="18.75">
      <c r="A49" s="112"/>
      <c r="B49" s="104"/>
      <c r="C49" s="34"/>
      <c r="D49" s="34"/>
      <c r="E49" s="34"/>
      <c r="F49" s="34"/>
      <c r="G49" s="105"/>
      <c r="H49" s="104"/>
      <c r="I49" s="34"/>
      <c r="J49" s="34"/>
      <c r="K49" s="34"/>
      <c r="L49" s="34"/>
      <c r="M49" s="105"/>
      <c r="N49" s="104"/>
      <c r="O49" s="34"/>
      <c r="P49" s="34"/>
      <c r="Q49" s="34"/>
      <c r="R49" s="34"/>
      <c r="S49" s="105"/>
    </row>
    <row r="50" spans="1:19" ht="18.75">
      <c r="A50" s="111">
        <v>6</v>
      </c>
      <c r="B50" s="102" t="s">
        <v>600</v>
      </c>
      <c r="C50" s="35" t="s">
        <v>604</v>
      </c>
      <c r="D50" s="35" t="s">
        <v>176</v>
      </c>
      <c r="E50" s="35" t="s">
        <v>920</v>
      </c>
      <c r="F50" s="35"/>
      <c r="G50" s="103"/>
      <c r="H50" s="102" t="s">
        <v>589</v>
      </c>
      <c r="I50" s="35" t="s">
        <v>241</v>
      </c>
      <c r="J50" s="35" t="s">
        <v>675</v>
      </c>
      <c r="K50" s="35" t="s">
        <v>664</v>
      </c>
      <c r="L50" s="35"/>
      <c r="M50" s="103"/>
      <c r="N50" s="102" t="s">
        <v>741</v>
      </c>
      <c r="O50" s="35" t="s">
        <v>607</v>
      </c>
      <c r="P50" s="35" t="s">
        <v>1009</v>
      </c>
      <c r="Q50" s="35" t="s">
        <v>922</v>
      </c>
      <c r="R50" s="35"/>
      <c r="S50" s="103"/>
    </row>
    <row r="51" spans="1:19" ht="18.75">
      <c r="A51" s="112"/>
      <c r="B51" s="104"/>
      <c r="C51" s="34"/>
      <c r="D51" s="34"/>
      <c r="E51" s="34"/>
      <c r="F51" s="34"/>
      <c r="G51" s="105"/>
      <c r="H51" s="104"/>
      <c r="I51" s="34"/>
      <c r="J51" s="34"/>
      <c r="K51" s="34"/>
      <c r="L51" s="34"/>
      <c r="M51" s="105"/>
      <c r="N51" s="104"/>
      <c r="O51" s="34"/>
      <c r="P51" s="34"/>
      <c r="Q51" s="34"/>
      <c r="R51" s="34"/>
      <c r="S51" s="105"/>
    </row>
    <row r="52" spans="1:19" ht="18.75">
      <c r="A52" s="111">
        <v>7</v>
      </c>
      <c r="B52" s="102" t="s">
        <v>600</v>
      </c>
      <c r="C52" s="35" t="s">
        <v>604</v>
      </c>
      <c r="D52" s="35" t="s">
        <v>176</v>
      </c>
      <c r="E52" s="35" t="s">
        <v>921</v>
      </c>
      <c r="F52" s="35"/>
      <c r="G52" s="103"/>
      <c r="H52" s="102" t="s">
        <v>559</v>
      </c>
      <c r="I52" s="35" t="s">
        <v>578</v>
      </c>
      <c r="J52" s="35" t="s">
        <v>993</v>
      </c>
      <c r="K52" s="35" t="s">
        <v>664</v>
      </c>
      <c r="L52" s="35"/>
      <c r="M52" s="103"/>
      <c r="N52" s="102" t="s">
        <v>611</v>
      </c>
      <c r="O52" s="35" t="s">
        <v>610</v>
      </c>
      <c r="P52" s="35" t="s">
        <v>633</v>
      </c>
      <c r="Q52" s="35" t="s">
        <v>634</v>
      </c>
      <c r="R52" s="35"/>
      <c r="S52" s="103"/>
    </row>
    <row r="53" spans="1:19" ht="18.75">
      <c r="A53" s="112"/>
      <c r="B53" s="104"/>
      <c r="C53" s="34"/>
      <c r="D53" s="34"/>
      <c r="E53" s="34"/>
      <c r="F53" s="34"/>
      <c r="G53" s="105"/>
      <c r="H53" s="104"/>
      <c r="I53" s="34"/>
      <c r="J53" s="34"/>
      <c r="K53" s="34"/>
      <c r="L53" s="34"/>
      <c r="M53" s="105"/>
      <c r="N53" s="104"/>
      <c r="O53" s="34"/>
      <c r="P53" s="34"/>
      <c r="Q53" s="34"/>
      <c r="R53" s="34"/>
      <c r="S53" s="105"/>
    </row>
    <row r="54" spans="1:19" ht="18.75">
      <c r="A54" s="113">
        <v>8</v>
      </c>
      <c r="B54" s="106" t="s">
        <v>554</v>
      </c>
      <c r="C54" s="107" t="s">
        <v>604</v>
      </c>
      <c r="D54" s="107" t="s">
        <v>882</v>
      </c>
      <c r="E54" s="107" t="s">
        <v>632</v>
      </c>
      <c r="F54" s="107" t="s">
        <v>301</v>
      </c>
      <c r="G54" s="108" t="s">
        <v>671</v>
      </c>
      <c r="H54" s="106" t="s">
        <v>559</v>
      </c>
      <c r="I54" s="107" t="s">
        <v>578</v>
      </c>
      <c r="J54" s="107" t="s">
        <v>676</v>
      </c>
      <c r="K54" s="107" t="s">
        <v>658</v>
      </c>
      <c r="L54" s="107"/>
      <c r="M54" s="108"/>
      <c r="N54" s="106" t="s">
        <v>611</v>
      </c>
      <c r="O54" s="107" t="s">
        <v>610</v>
      </c>
      <c r="P54" s="107" t="s">
        <v>633</v>
      </c>
      <c r="Q54" s="107" t="s">
        <v>634</v>
      </c>
      <c r="R54" s="107"/>
      <c r="S54" s="108"/>
    </row>
    <row r="55" spans="1:19" ht="26.25">
      <c r="A55" s="187" t="s">
        <v>491</v>
      </c>
      <c r="B55" s="189"/>
    </row>
    <row r="56" spans="1:19" ht="18.75">
      <c r="A56" s="109"/>
      <c r="B56" s="184" t="s">
        <v>480</v>
      </c>
      <c r="C56" s="185"/>
      <c r="D56" s="185"/>
      <c r="E56" s="185"/>
      <c r="F56" s="185"/>
      <c r="G56" s="186"/>
      <c r="H56" s="184" t="s">
        <v>481</v>
      </c>
      <c r="I56" s="185"/>
      <c r="J56" s="185"/>
      <c r="K56" s="185"/>
      <c r="L56" s="185"/>
      <c r="M56" s="186"/>
      <c r="N56" s="184" t="s">
        <v>482</v>
      </c>
      <c r="O56" s="185"/>
      <c r="P56" s="185"/>
      <c r="Q56" s="185"/>
      <c r="R56" s="185"/>
      <c r="S56" s="186"/>
    </row>
    <row r="57" spans="1:19" ht="18.75">
      <c r="A57" s="110"/>
      <c r="B57" s="100" t="s">
        <v>484</v>
      </c>
      <c r="C57" s="73" t="s">
        <v>483</v>
      </c>
      <c r="D57" s="73" t="s">
        <v>485</v>
      </c>
      <c r="E57" s="73" t="s">
        <v>483</v>
      </c>
      <c r="F57" s="73" t="s">
        <v>650</v>
      </c>
      <c r="G57" s="101" t="s">
        <v>483</v>
      </c>
      <c r="H57" s="100" t="s">
        <v>484</v>
      </c>
      <c r="I57" s="73" t="s">
        <v>483</v>
      </c>
      <c r="J57" s="73" t="s">
        <v>485</v>
      </c>
      <c r="K57" s="73" t="s">
        <v>483</v>
      </c>
      <c r="L57" s="73" t="s">
        <v>650</v>
      </c>
      <c r="M57" s="101" t="s">
        <v>483</v>
      </c>
      <c r="N57" s="100" t="s">
        <v>484</v>
      </c>
      <c r="O57" s="73" t="s">
        <v>483</v>
      </c>
      <c r="P57" s="73" t="s">
        <v>485</v>
      </c>
      <c r="Q57" s="73" t="s">
        <v>483</v>
      </c>
      <c r="R57" s="73" t="s">
        <v>650</v>
      </c>
      <c r="S57" s="101" t="s">
        <v>483</v>
      </c>
    </row>
    <row r="58" spans="1:19" ht="18.75">
      <c r="A58" s="111">
        <v>1</v>
      </c>
      <c r="B58" s="102" t="s">
        <v>492</v>
      </c>
      <c r="C58" s="35" t="s">
        <v>542</v>
      </c>
      <c r="D58" s="35" t="s">
        <v>629</v>
      </c>
      <c r="E58" s="35" t="s">
        <v>630</v>
      </c>
      <c r="F58" s="35"/>
      <c r="G58" s="103"/>
      <c r="H58" s="102" t="s">
        <v>618</v>
      </c>
      <c r="I58" s="35" t="s">
        <v>69</v>
      </c>
      <c r="J58" s="35" t="s">
        <v>924</v>
      </c>
      <c r="K58" s="35" t="s">
        <v>593</v>
      </c>
      <c r="L58" s="35" t="s">
        <v>963</v>
      </c>
      <c r="M58" s="103" t="s">
        <v>671</v>
      </c>
      <c r="N58" s="102" t="s">
        <v>571</v>
      </c>
      <c r="O58" s="35" t="s">
        <v>77</v>
      </c>
      <c r="P58" s="35" t="s">
        <v>910</v>
      </c>
      <c r="Q58" s="35" t="s">
        <v>634</v>
      </c>
      <c r="R58" s="35"/>
      <c r="S58" s="103"/>
    </row>
    <row r="59" spans="1:19" ht="18.75">
      <c r="A59" s="112"/>
      <c r="B59" s="104"/>
      <c r="C59" s="34"/>
      <c r="D59" s="34"/>
      <c r="E59" s="34"/>
      <c r="F59" s="34"/>
      <c r="G59" s="105"/>
      <c r="H59" s="104"/>
      <c r="I59" s="34"/>
      <c r="J59" s="34"/>
      <c r="K59" s="34"/>
      <c r="L59" s="34"/>
      <c r="M59" s="105"/>
      <c r="N59" s="104"/>
      <c r="O59" s="34"/>
      <c r="P59" s="34"/>
      <c r="Q59" s="34"/>
      <c r="R59" s="34"/>
      <c r="S59" s="105"/>
    </row>
    <row r="60" spans="1:19" ht="18.75">
      <c r="A60" s="111">
        <v>2</v>
      </c>
      <c r="B60" s="102" t="s">
        <v>492</v>
      </c>
      <c r="C60" s="35" t="s">
        <v>542</v>
      </c>
      <c r="D60" s="35" t="s">
        <v>629</v>
      </c>
      <c r="E60" s="35" t="s">
        <v>630</v>
      </c>
      <c r="F60" s="35"/>
      <c r="G60" s="103"/>
      <c r="H60" s="102" t="s">
        <v>618</v>
      </c>
      <c r="I60" s="35" t="s">
        <v>69</v>
      </c>
      <c r="J60" s="35" t="s">
        <v>924</v>
      </c>
      <c r="K60" s="35" t="s">
        <v>593</v>
      </c>
      <c r="L60" s="35" t="s">
        <v>963</v>
      </c>
      <c r="M60" s="103" t="s">
        <v>671</v>
      </c>
      <c r="N60" s="102" t="s">
        <v>571</v>
      </c>
      <c r="O60" s="35" t="s">
        <v>77</v>
      </c>
      <c r="P60" s="35" t="s">
        <v>373</v>
      </c>
      <c r="Q60" s="35" t="s">
        <v>922</v>
      </c>
      <c r="R60" s="35"/>
      <c r="S60" s="103"/>
    </row>
    <row r="61" spans="1:19" ht="18.75">
      <c r="A61" s="112"/>
      <c r="B61" s="104"/>
      <c r="C61" s="34"/>
      <c r="D61" s="34"/>
      <c r="E61" s="34"/>
      <c r="F61" s="34"/>
      <c r="G61" s="105"/>
      <c r="H61" s="104"/>
      <c r="I61" s="34"/>
      <c r="J61" s="34"/>
      <c r="K61" s="34"/>
      <c r="L61" s="34"/>
      <c r="M61" s="105"/>
      <c r="N61" s="104"/>
      <c r="O61" s="34"/>
      <c r="P61" s="34"/>
      <c r="Q61" s="34"/>
      <c r="R61" s="34"/>
      <c r="S61" s="105"/>
    </row>
    <row r="62" spans="1:19" ht="18.75">
      <c r="A62" s="111">
        <v>3</v>
      </c>
      <c r="B62" s="102" t="s">
        <v>492</v>
      </c>
      <c r="C62" s="35" t="s">
        <v>542</v>
      </c>
      <c r="D62" s="35" t="s">
        <v>629</v>
      </c>
      <c r="E62" s="35" t="s">
        <v>630</v>
      </c>
      <c r="F62" s="35"/>
      <c r="G62" s="103"/>
      <c r="H62" s="102" t="s">
        <v>618</v>
      </c>
      <c r="I62" s="35" t="s">
        <v>69</v>
      </c>
      <c r="J62" s="35" t="s">
        <v>606</v>
      </c>
      <c r="K62" s="35" t="s">
        <v>593</v>
      </c>
      <c r="L62" s="35" t="s">
        <v>250</v>
      </c>
      <c r="M62" s="103" t="s">
        <v>671</v>
      </c>
      <c r="N62" s="102" t="s">
        <v>571</v>
      </c>
      <c r="O62" s="35" t="s">
        <v>77</v>
      </c>
      <c r="P62" s="35" t="s">
        <v>373</v>
      </c>
      <c r="Q62" s="35" t="s">
        <v>922</v>
      </c>
      <c r="R62" s="35"/>
      <c r="S62" s="103"/>
    </row>
    <row r="63" spans="1:19" ht="18.75">
      <c r="A63" s="112"/>
      <c r="B63" s="104"/>
      <c r="C63" s="34"/>
      <c r="D63" s="34"/>
      <c r="E63" s="34"/>
      <c r="F63" s="34"/>
      <c r="G63" s="105"/>
      <c r="H63" s="104"/>
      <c r="I63" s="34"/>
      <c r="J63" s="34"/>
      <c r="K63" s="34"/>
      <c r="L63" s="34"/>
      <c r="M63" s="105"/>
      <c r="N63" s="104"/>
      <c r="O63" s="34"/>
      <c r="P63" s="34"/>
      <c r="Q63" s="34"/>
      <c r="R63" s="34"/>
      <c r="S63" s="105"/>
    </row>
    <row r="64" spans="1:19" ht="18.75">
      <c r="A64" s="111">
        <v>4</v>
      </c>
      <c r="B64" s="102" t="s">
        <v>492</v>
      </c>
      <c r="C64" s="35" t="s">
        <v>542</v>
      </c>
      <c r="D64" s="35" t="s">
        <v>670</v>
      </c>
      <c r="E64" s="35" t="s">
        <v>632</v>
      </c>
      <c r="F64" s="35" t="s">
        <v>250</v>
      </c>
      <c r="G64" s="103" t="s">
        <v>671</v>
      </c>
      <c r="H64" s="102" t="s">
        <v>618</v>
      </c>
      <c r="I64" s="35" t="s">
        <v>69</v>
      </c>
      <c r="J64" s="35" t="s">
        <v>606</v>
      </c>
      <c r="K64" s="35" t="s">
        <v>593</v>
      </c>
      <c r="L64" s="35" t="s">
        <v>250</v>
      </c>
      <c r="M64" s="103" t="s">
        <v>671</v>
      </c>
      <c r="N64" s="102" t="s">
        <v>571</v>
      </c>
      <c r="O64" s="35" t="s">
        <v>77</v>
      </c>
      <c r="P64" s="35" t="s">
        <v>927</v>
      </c>
      <c r="Q64" s="35" t="s">
        <v>922</v>
      </c>
      <c r="R64" s="35"/>
      <c r="S64" s="103"/>
    </row>
    <row r="65" spans="1:19" ht="18.75">
      <c r="A65" s="112"/>
      <c r="B65" s="104"/>
      <c r="C65" s="34"/>
      <c r="D65" s="34"/>
      <c r="E65" s="34"/>
      <c r="F65" s="34"/>
      <c r="G65" s="105"/>
      <c r="H65" s="104"/>
      <c r="I65" s="34"/>
      <c r="J65" s="34"/>
      <c r="K65" s="34"/>
      <c r="L65" s="34"/>
      <c r="M65" s="105"/>
      <c r="N65" s="104"/>
      <c r="O65" s="34"/>
      <c r="P65" s="34"/>
      <c r="Q65" s="34"/>
      <c r="R65" s="34"/>
      <c r="S65" s="105"/>
    </row>
    <row r="66" spans="1:19" ht="18.75">
      <c r="A66" s="111">
        <v>5</v>
      </c>
      <c r="B66" s="102" t="s">
        <v>413</v>
      </c>
      <c r="C66" s="35" t="s">
        <v>543</v>
      </c>
      <c r="D66" s="35" t="s">
        <v>683</v>
      </c>
      <c r="E66" s="35" t="s">
        <v>657</v>
      </c>
      <c r="F66" s="35" t="s">
        <v>250</v>
      </c>
      <c r="G66" s="103" t="s">
        <v>671</v>
      </c>
      <c r="H66" s="102" t="s">
        <v>599</v>
      </c>
      <c r="I66" s="35" t="s">
        <v>621</v>
      </c>
      <c r="J66" s="35" t="s">
        <v>486</v>
      </c>
      <c r="K66" s="35" t="s">
        <v>630</v>
      </c>
      <c r="L66" s="35"/>
      <c r="M66" s="103"/>
      <c r="N66" s="102" t="s">
        <v>571</v>
      </c>
      <c r="O66" s="35" t="s">
        <v>77</v>
      </c>
      <c r="P66" s="35" t="s">
        <v>926</v>
      </c>
      <c r="Q66" s="35" t="s">
        <v>922</v>
      </c>
      <c r="R66" s="35"/>
      <c r="S66" s="103"/>
    </row>
    <row r="67" spans="1:19" ht="18.75">
      <c r="A67" s="112"/>
      <c r="B67" s="104"/>
      <c r="C67" s="34"/>
      <c r="D67" s="34"/>
      <c r="E67" s="34"/>
      <c r="F67" s="34"/>
      <c r="G67" s="105"/>
      <c r="H67" s="104"/>
      <c r="I67" s="34"/>
      <c r="J67" s="34"/>
      <c r="K67" s="34"/>
      <c r="L67" s="34"/>
      <c r="M67" s="105"/>
      <c r="N67" s="104"/>
      <c r="O67" s="34"/>
      <c r="P67" s="34"/>
      <c r="Q67" s="34"/>
      <c r="R67" s="34"/>
      <c r="S67" s="105"/>
    </row>
    <row r="68" spans="1:19" ht="18.75">
      <c r="A68" s="111">
        <v>6</v>
      </c>
      <c r="B68" s="102" t="s">
        <v>413</v>
      </c>
      <c r="C68" s="35" t="s">
        <v>543</v>
      </c>
      <c r="D68" s="35" t="s">
        <v>643</v>
      </c>
      <c r="E68" s="35" t="s">
        <v>660</v>
      </c>
      <c r="F68" s="35" t="s">
        <v>997</v>
      </c>
      <c r="G68" s="103" t="s">
        <v>671</v>
      </c>
      <c r="H68" s="102" t="s">
        <v>599</v>
      </c>
      <c r="I68" s="35" t="s">
        <v>622</v>
      </c>
      <c r="J68" s="35" t="s">
        <v>486</v>
      </c>
      <c r="K68" s="35" t="s">
        <v>630</v>
      </c>
      <c r="L68" s="35"/>
      <c r="M68" s="103"/>
      <c r="N68" s="102" t="s">
        <v>571</v>
      </c>
      <c r="O68" s="35" t="s">
        <v>77</v>
      </c>
      <c r="P68" s="35" t="s">
        <v>1006</v>
      </c>
      <c r="Q68" s="35" t="s">
        <v>922</v>
      </c>
      <c r="R68" s="35"/>
      <c r="S68" s="103"/>
    </row>
    <row r="69" spans="1:19" ht="18.75">
      <c r="A69" s="112"/>
      <c r="B69" s="104"/>
      <c r="C69" s="34"/>
      <c r="D69" s="34"/>
      <c r="E69" s="34"/>
      <c r="F69" s="34"/>
      <c r="G69" s="105"/>
      <c r="H69" s="104"/>
      <c r="I69" s="34"/>
      <c r="J69" s="34"/>
      <c r="K69" s="34"/>
      <c r="L69" s="34"/>
      <c r="M69" s="105"/>
      <c r="N69" s="104"/>
      <c r="O69" s="34"/>
      <c r="P69" s="34"/>
      <c r="Q69" s="34"/>
      <c r="R69" s="34"/>
      <c r="S69" s="105"/>
    </row>
    <row r="70" spans="1:19" ht="18.75">
      <c r="A70" s="111">
        <v>7</v>
      </c>
      <c r="B70" s="102" t="s">
        <v>413</v>
      </c>
      <c r="C70" s="35" t="s">
        <v>543</v>
      </c>
      <c r="D70" s="35" t="s">
        <v>642</v>
      </c>
      <c r="E70" s="35" t="s">
        <v>660</v>
      </c>
      <c r="F70" s="35" t="s">
        <v>250</v>
      </c>
      <c r="G70" s="103" t="s">
        <v>671</v>
      </c>
      <c r="H70" s="102" t="s">
        <v>601</v>
      </c>
      <c r="I70" s="35" t="s">
        <v>651</v>
      </c>
      <c r="J70" s="35" t="s">
        <v>486</v>
      </c>
      <c r="K70" s="35" t="s">
        <v>671</v>
      </c>
      <c r="L70" s="35"/>
      <c r="M70" s="103"/>
      <c r="N70" s="102" t="s">
        <v>571</v>
      </c>
      <c r="O70" s="35" t="s">
        <v>77</v>
      </c>
      <c r="P70" s="35" t="s">
        <v>931</v>
      </c>
      <c r="Q70" s="35" t="s">
        <v>1908</v>
      </c>
      <c r="R70" s="35"/>
      <c r="S70" s="103"/>
    </row>
    <row r="71" spans="1:19" ht="18.75">
      <c r="A71" s="112"/>
      <c r="B71" s="104"/>
      <c r="C71" s="34"/>
      <c r="D71" s="34"/>
      <c r="E71" s="34"/>
      <c r="F71" s="34"/>
      <c r="G71" s="105"/>
      <c r="H71" s="104"/>
      <c r="I71" s="34"/>
      <c r="J71" s="34"/>
      <c r="K71" s="34"/>
      <c r="L71" s="34"/>
      <c r="M71" s="105"/>
      <c r="N71" s="104"/>
      <c r="O71" s="34"/>
      <c r="P71" s="34"/>
      <c r="Q71" s="34"/>
      <c r="R71" s="34"/>
      <c r="S71" s="105"/>
    </row>
    <row r="72" spans="1:19" ht="18.75">
      <c r="A72" s="113">
        <v>8</v>
      </c>
      <c r="B72" s="106" t="s">
        <v>413</v>
      </c>
      <c r="C72" s="107" t="s">
        <v>543</v>
      </c>
      <c r="D72" s="107" t="s">
        <v>883</v>
      </c>
      <c r="E72" s="107" t="s">
        <v>660</v>
      </c>
      <c r="F72" s="107" t="s">
        <v>969</v>
      </c>
      <c r="G72" s="103" t="s">
        <v>671</v>
      </c>
      <c r="H72" s="106" t="s">
        <v>601</v>
      </c>
      <c r="I72" s="107" t="s">
        <v>651</v>
      </c>
      <c r="J72" s="107" t="s">
        <v>486</v>
      </c>
      <c r="K72" s="107" t="s">
        <v>671</v>
      </c>
      <c r="L72" s="107"/>
      <c r="M72" s="108"/>
      <c r="N72" s="106" t="s">
        <v>571</v>
      </c>
      <c r="O72" s="107" t="s">
        <v>77</v>
      </c>
      <c r="P72" s="107" t="s">
        <v>897</v>
      </c>
      <c r="Q72" s="107" t="s">
        <v>1908</v>
      </c>
      <c r="R72" s="107"/>
      <c r="S72" s="108"/>
    </row>
    <row r="73" spans="1:19" ht="26.25">
      <c r="A73" s="187" t="s">
        <v>488</v>
      </c>
      <c r="B73" s="189"/>
    </row>
    <row r="74" spans="1:19" ht="18.75">
      <c r="A74" s="109"/>
      <c r="B74" s="184" t="s">
        <v>480</v>
      </c>
      <c r="C74" s="185"/>
      <c r="D74" s="185"/>
      <c r="E74" s="185"/>
      <c r="F74" s="185"/>
      <c r="G74" s="186"/>
      <c r="H74" s="184" t="s">
        <v>481</v>
      </c>
      <c r="I74" s="185"/>
      <c r="J74" s="185"/>
      <c r="K74" s="185"/>
      <c r="L74" s="185"/>
      <c r="M74" s="186"/>
      <c r="N74" s="184" t="s">
        <v>482</v>
      </c>
      <c r="O74" s="185"/>
      <c r="P74" s="185"/>
      <c r="Q74" s="185"/>
      <c r="R74" s="185"/>
      <c r="S74" s="186"/>
    </row>
    <row r="75" spans="1:19" ht="18.75">
      <c r="A75" s="110"/>
      <c r="B75" s="100" t="s">
        <v>484</v>
      </c>
      <c r="C75" s="73" t="s">
        <v>483</v>
      </c>
      <c r="D75" s="73" t="s">
        <v>485</v>
      </c>
      <c r="E75" s="73" t="s">
        <v>483</v>
      </c>
      <c r="F75" s="73" t="s">
        <v>650</v>
      </c>
      <c r="G75" s="101" t="s">
        <v>483</v>
      </c>
      <c r="H75" s="100" t="s">
        <v>484</v>
      </c>
      <c r="I75" s="73" t="s">
        <v>483</v>
      </c>
      <c r="J75" s="73" t="s">
        <v>485</v>
      </c>
      <c r="K75" s="73" t="s">
        <v>483</v>
      </c>
      <c r="L75" s="73" t="s">
        <v>650</v>
      </c>
      <c r="M75" s="101" t="s">
        <v>483</v>
      </c>
      <c r="N75" s="100" t="s">
        <v>484</v>
      </c>
      <c r="O75" s="73" t="s">
        <v>483</v>
      </c>
      <c r="P75" s="73" t="s">
        <v>485</v>
      </c>
      <c r="Q75" s="73" t="s">
        <v>483</v>
      </c>
      <c r="R75" s="73" t="s">
        <v>650</v>
      </c>
      <c r="S75" s="101" t="s">
        <v>483</v>
      </c>
    </row>
    <row r="76" spans="1:19" ht="18.75">
      <c r="A76" s="111">
        <v>1</v>
      </c>
      <c r="B76" s="102" t="s">
        <v>568</v>
      </c>
      <c r="C76" s="35" t="s">
        <v>241</v>
      </c>
      <c r="D76" s="35" t="s">
        <v>457</v>
      </c>
      <c r="E76" s="35" t="s">
        <v>577</v>
      </c>
      <c r="F76" s="35"/>
      <c r="G76" s="103"/>
      <c r="H76" s="102" t="s">
        <v>568</v>
      </c>
      <c r="I76" s="35" t="s">
        <v>241</v>
      </c>
      <c r="J76" s="35" t="s">
        <v>457</v>
      </c>
      <c r="K76" s="35" t="s">
        <v>577</v>
      </c>
      <c r="L76" s="35"/>
      <c r="M76" s="103"/>
      <c r="N76" s="102" t="s">
        <v>545</v>
      </c>
      <c r="O76" s="35" t="s">
        <v>192</v>
      </c>
      <c r="P76" s="35" t="s">
        <v>571</v>
      </c>
      <c r="Q76" s="35" t="s">
        <v>660</v>
      </c>
      <c r="R76" s="35"/>
      <c r="S76" s="103"/>
    </row>
    <row r="77" spans="1:19" ht="18.75">
      <c r="A77" s="112"/>
      <c r="B77" s="104"/>
      <c r="C77" s="34"/>
      <c r="D77" s="34"/>
      <c r="E77" s="34"/>
      <c r="F77" s="34"/>
      <c r="G77" s="105"/>
      <c r="H77" s="104"/>
      <c r="I77" s="34"/>
      <c r="J77" s="34"/>
      <c r="K77" s="34"/>
      <c r="L77" s="34"/>
      <c r="M77" s="105"/>
      <c r="N77" s="104"/>
      <c r="O77" s="34"/>
      <c r="P77" s="34"/>
      <c r="Q77" s="34"/>
      <c r="R77" s="34"/>
      <c r="S77" s="105"/>
    </row>
    <row r="78" spans="1:19" ht="18.75">
      <c r="A78" s="111">
        <v>2</v>
      </c>
      <c r="B78" s="102" t="s">
        <v>685</v>
      </c>
      <c r="C78" s="35" t="s">
        <v>578</v>
      </c>
      <c r="D78" s="35" t="s">
        <v>582</v>
      </c>
      <c r="E78" s="35" t="s">
        <v>577</v>
      </c>
      <c r="F78" s="35"/>
      <c r="G78" s="103"/>
      <c r="H78" s="102" t="s">
        <v>685</v>
      </c>
      <c r="I78" s="35" t="s">
        <v>578</v>
      </c>
      <c r="J78" s="35" t="s">
        <v>582</v>
      </c>
      <c r="K78" s="35" t="s">
        <v>577</v>
      </c>
      <c r="L78" s="35"/>
      <c r="M78" s="103"/>
      <c r="N78" s="102" t="s">
        <v>545</v>
      </c>
      <c r="O78" s="35" t="s">
        <v>192</v>
      </c>
      <c r="P78" s="35" t="s">
        <v>571</v>
      </c>
      <c r="Q78" s="35" t="s">
        <v>660</v>
      </c>
      <c r="R78" s="35"/>
      <c r="S78" s="103"/>
    </row>
    <row r="79" spans="1:19" ht="18.75">
      <c r="A79" s="112"/>
      <c r="B79" s="104"/>
      <c r="C79" s="34"/>
      <c r="D79" s="34"/>
      <c r="E79" s="34"/>
      <c r="F79" s="34"/>
      <c r="G79" s="105"/>
      <c r="H79" s="104"/>
      <c r="I79" s="34"/>
      <c r="J79" s="34"/>
      <c r="K79" s="34"/>
      <c r="L79" s="34"/>
      <c r="M79" s="105"/>
      <c r="N79" s="104"/>
      <c r="O79" s="34"/>
      <c r="P79" s="34"/>
      <c r="Q79" s="34"/>
      <c r="R79" s="34"/>
      <c r="S79" s="105"/>
    </row>
    <row r="80" spans="1:19" ht="18.75">
      <c r="A80" s="111">
        <v>3</v>
      </c>
      <c r="B80" s="102" t="s">
        <v>590</v>
      </c>
      <c r="C80" s="35" t="s">
        <v>578</v>
      </c>
      <c r="D80" s="35" t="s">
        <v>576</v>
      </c>
      <c r="E80" s="35" t="s">
        <v>577</v>
      </c>
      <c r="F80" s="35"/>
      <c r="G80" s="103"/>
      <c r="H80" s="102" t="s">
        <v>590</v>
      </c>
      <c r="I80" s="35" t="s">
        <v>578</v>
      </c>
      <c r="J80" s="35" t="s">
        <v>576</v>
      </c>
      <c r="K80" s="35" t="s">
        <v>577</v>
      </c>
      <c r="L80" s="35"/>
      <c r="M80" s="103"/>
      <c r="N80" s="102" t="s">
        <v>545</v>
      </c>
      <c r="O80" s="35" t="s">
        <v>192</v>
      </c>
      <c r="P80" s="35" t="s">
        <v>571</v>
      </c>
      <c r="Q80" s="35" t="s">
        <v>660</v>
      </c>
      <c r="R80" s="35"/>
      <c r="S80" s="103"/>
    </row>
    <row r="81" spans="1:19" ht="18.75">
      <c r="A81" s="112"/>
      <c r="B81" s="104"/>
      <c r="C81" s="34"/>
      <c r="D81" s="34"/>
      <c r="E81" s="34"/>
      <c r="F81" s="34"/>
      <c r="G81" s="105"/>
      <c r="H81" s="104"/>
      <c r="I81" s="34"/>
      <c r="J81" s="34"/>
      <c r="K81" s="34"/>
      <c r="L81" s="34"/>
      <c r="M81" s="105"/>
      <c r="N81" s="104"/>
      <c r="O81" s="34"/>
      <c r="P81" s="34"/>
      <c r="Q81" s="34"/>
      <c r="R81" s="34"/>
      <c r="S81" s="105"/>
    </row>
    <row r="82" spans="1:19" ht="18.75">
      <c r="A82" s="111">
        <v>4</v>
      </c>
      <c r="B82" s="102" t="s">
        <v>583</v>
      </c>
      <c r="C82" s="35" t="s">
        <v>703</v>
      </c>
      <c r="D82" s="35"/>
      <c r="E82" s="35"/>
      <c r="F82" s="35"/>
      <c r="G82" s="103"/>
      <c r="H82" s="102" t="s">
        <v>583</v>
      </c>
      <c r="I82" s="35" t="s">
        <v>703</v>
      </c>
      <c r="J82" s="35"/>
      <c r="K82" s="35"/>
      <c r="L82" s="35"/>
      <c r="M82" s="103"/>
      <c r="N82" s="102" t="s">
        <v>545</v>
      </c>
      <c r="O82" s="35" t="s">
        <v>192</v>
      </c>
      <c r="P82" s="35" t="s">
        <v>571</v>
      </c>
      <c r="Q82" s="35" t="s">
        <v>660</v>
      </c>
      <c r="R82" s="35"/>
      <c r="S82" s="103"/>
    </row>
    <row r="83" spans="1:19" ht="18.75">
      <c r="A83" s="112"/>
      <c r="B83" s="104"/>
      <c r="C83" s="34"/>
      <c r="D83" s="34"/>
      <c r="E83" s="34"/>
      <c r="F83" s="34"/>
      <c r="G83" s="105"/>
      <c r="H83" s="104"/>
      <c r="I83" s="34"/>
      <c r="J83" s="34"/>
      <c r="K83" s="34"/>
      <c r="L83" s="34"/>
      <c r="M83" s="105"/>
      <c r="N83" s="104"/>
      <c r="O83" s="34"/>
      <c r="P83" s="34"/>
      <c r="Q83" s="34"/>
      <c r="R83" s="34"/>
      <c r="S83" s="105"/>
    </row>
    <row r="84" spans="1:19" ht="18.75">
      <c r="A84" s="111">
        <v>5</v>
      </c>
      <c r="B84" s="102" t="s">
        <v>575</v>
      </c>
      <c r="C84" s="35" t="s">
        <v>704</v>
      </c>
      <c r="D84" s="35"/>
      <c r="E84" s="35"/>
      <c r="F84" s="35"/>
      <c r="G84" s="103"/>
      <c r="H84" s="102" t="s">
        <v>575</v>
      </c>
      <c r="I84" s="35" t="s">
        <v>704</v>
      </c>
      <c r="J84" s="35"/>
      <c r="K84" s="35"/>
      <c r="L84" s="35"/>
      <c r="M84" s="103"/>
      <c r="N84" s="102"/>
      <c r="O84" s="35"/>
      <c r="P84" s="35" t="s">
        <v>572</v>
      </c>
      <c r="Q84" s="35" t="s">
        <v>580</v>
      </c>
      <c r="R84" s="35"/>
      <c r="S84" s="103"/>
    </row>
    <row r="85" spans="1:19" ht="18.75">
      <c r="A85" s="112"/>
      <c r="B85" s="104"/>
      <c r="C85" s="34"/>
      <c r="D85" s="34"/>
      <c r="E85" s="34"/>
      <c r="F85" s="34"/>
      <c r="G85" s="105"/>
      <c r="H85" s="104"/>
      <c r="I85" s="34"/>
      <c r="J85" s="34"/>
      <c r="K85" s="34"/>
      <c r="L85" s="34"/>
      <c r="M85" s="105"/>
      <c r="N85" s="104"/>
      <c r="O85" s="34"/>
      <c r="P85" s="34"/>
      <c r="Q85" s="34"/>
      <c r="R85" s="34"/>
      <c r="S85" s="105"/>
    </row>
    <row r="86" spans="1:19" ht="18.75">
      <c r="A86" s="111">
        <v>6</v>
      </c>
      <c r="B86" s="102" t="s">
        <v>584</v>
      </c>
      <c r="C86" s="35" t="s">
        <v>703</v>
      </c>
      <c r="D86" s="35"/>
      <c r="E86" s="35"/>
      <c r="F86" s="35"/>
      <c r="G86" s="103"/>
      <c r="H86" s="102" t="s">
        <v>584</v>
      </c>
      <c r="I86" s="35" t="s">
        <v>703</v>
      </c>
      <c r="J86" s="35"/>
      <c r="K86" s="35"/>
      <c r="L86" s="35"/>
      <c r="M86" s="103"/>
      <c r="N86" s="102"/>
      <c r="O86" s="35"/>
      <c r="P86" s="35" t="s">
        <v>572</v>
      </c>
      <c r="Q86" s="35" t="s">
        <v>580</v>
      </c>
      <c r="R86" s="35"/>
      <c r="S86" s="103"/>
    </row>
    <row r="87" spans="1:19" ht="18.75">
      <c r="A87" s="112"/>
      <c r="B87" s="104"/>
      <c r="C87" s="34"/>
      <c r="D87" s="34"/>
      <c r="E87" s="34"/>
      <c r="F87" s="34"/>
      <c r="G87" s="105"/>
      <c r="H87" s="104"/>
      <c r="I87" s="34"/>
      <c r="J87" s="34"/>
      <c r="K87" s="34"/>
      <c r="L87" s="34"/>
      <c r="M87" s="105"/>
      <c r="N87" s="104"/>
      <c r="O87" s="34"/>
      <c r="P87" s="34"/>
      <c r="Q87" s="34"/>
      <c r="R87" s="34"/>
      <c r="S87" s="105"/>
    </row>
    <row r="88" spans="1:19" ht="18.75">
      <c r="A88" s="111">
        <v>7</v>
      </c>
      <c r="B88" s="102" t="s">
        <v>701</v>
      </c>
      <c r="C88" s="35" t="s">
        <v>702</v>
      </c>
      <c r="D88" s="35"/>
      <c r="E88" s="35"/>
      <c r="F88" s="35"/>
      <c r="G88" s="103"/>
      <c r="H88" s="102" t="s">
        <v>701</v>
      </c>
      <c r="I88" s="35" t="s">
        <v>702</v>
      </c>
      <c r="J88" s="35"/>
      <c r="K88" s="35"/>
      <c r="L88" s="35"/>
      <c r="M88" s="103"/>
      <c r="N88" s="102"/>
      <c r="O88" s="35"/>
      <c r="P88" s="35" t="s">
        <v>572</v>
      </c>
      <c r="Q88" s="35" t="s">
        <v>580</v>
      </c>
      <c r="R88" s="35"/>
      <c r="S88" s="103"/>
    </row>
    <row r="89" spans="1:19" ht="18.75">
      <c r="A89" s="112"/>
      <c r="B89" s="104"/>
      <c r="C89" s="34"/>
      <c r="D89" s="34"/>
      <c r="E89" s="34"/>
      <c r="F89" s="34"/>
      <c r="G89" s="105"/>
      <c r="H89" s="104"/>
      <c r="I89" s="34"/>
      <c r="J89" s="34"/>
      <c r="K89" s="34"/>
      <c r="L89" s="34"/>
      <c r="M89" s="105"/>
      <c r="N89" s="104"/>
      <c r="O89" s="34"/>
      <c r="P89" s="34"/>
      <c r="Q89" s="34"/>
      <c r="R89" s="34"/>
      <c r="S89" s="105"/>
    </row>
    <row r="90" spans="1:19" ht="18.75">
      <c r="A90" s="113">
        <v>8</v>
      </c>
      <c r="B90" s="106" t="s">
        <v>582</v>
      </c>
      <c r="C90" s="107" t="s">
        <v>703</v>
      </c>
      <c r="D90" s="107"/>
      <c r="E90" s="107"/>
      <c r="F90" s="107"/>
      <c r="G90" s="108"/>
      <c r="H90" s="106" t="s">
        <v>582</v>
      </c>
      <c r="I90" s="107" t="s">
        <v>703</v>
      </c>
      <c r="J90" s="107"/>
      <c r="K90" s="107"/>
      <c r="L90" s="107"/>
      <c r="M90" s="108"/>
      <c r="N90" s="106"/>
      <c r="O90" s="107"/>
      <c r="P90" s="107" t="s">
        <v>572</v>
      </c>
      <c r="Q90" s="107" t="s">
        <v>580</v>
      </c>
      <c r="R90" s="107"/>
      <c r="S90" s="108"/>
    </row>
  </sheetData>
  <mergeCells count="20">
    <mergeCell ref="A1:B1"/>
    <mergeCell ref="A19:B19"/>
    <mergeCell ref="A37:B37"/>
    <mergeCell ref="A55:B55"/>
    <mergeCell ref="A73:B73"/>
    <mergeCell ref="B38:G38"/>
    <mergeCell ref="B56:G56"/>
    <mergeCell ref="B2:G2"/>
    <mergeCell ref="N2:S2"/>
    <mergeCell ref="B20:G20"/>
    <mergeCell ref="H20:M20"/>
    <mergeCell ref="N20:S20"/>
    <mergeCell ref="B74:G74"/>
    <mergeCell ref="H74:M74"/>
    <mergeCell ref="N74:S74"/>
    <mergeCell ref="H38:M38"/>
    <mergeCell ref="N38:S38"/>
    <mergeCell ref="H56:M56"/>
    <mergeCell ref="N56:S56"/>
    <mergeCell ref="H2:M2"/>
  </mergeCells>
  <pageMargins left="0.25" right="0.25" top="0.75" bottom="0.75" header="0.3" footer="0.3"/>
  <pageSetup paperSize="9" scale="25"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L96"/>
  <sheetViews>
    <sheetView zoomScale="115" zoomScaleNormal="115" workbookViewId="0">
      <pane xSplit="1" ySplit="1" topLeftCell="B16" activePane="bottomRight" state="frozen"/>
      <selection pane="topRight" activeCell="C1" sqref="C1"/>
      <selection pane="bottomLeft" activeCell="A2" sqref="A2"/>
      <selection pane="bottomRight" activeCell="C47" sqref="C47"/>
    </sheetView>
  </sheetViews>
  <sheetFormatPr defaultRowHeight="12"/>
  <cols>
    <col min="1" max="1" width="26.5703125" style="1" customWidth="1"/>
    <col min="2" max="2" width="13.7109375" style="2" customWidth="1"/>
    <col min="3" max="3" width="11.42578125" style="2" customWidth="1"/>
    <col min="4" max="4" width="10.85546875" style="2" customWidth="1"/>
    <col min="5" max="5" width="14.42578125" style="2" customWidth="1"/>
    <col min="6" max="6" width="14.28515625" style="2" customWidth="1"/>
    <col min="7" max="9" width="11.5703125" style="5" customWidth="1"/>
    <col min="10" max="10" width="9.85546875" style="1" customWidth="1"/>
    <col min="11" max="11" width="5.7109375" style="1" customWidth="1"/>
    <col min="12" max="12" width="11.140625" style="1" customWidth="1"/>
    <col min="13" max="16384" width="9.140625" style="1"/>
  </cols>
  <sheetData>
    <row r="1" spans="1:12" s="11" customFormat="1" ht="33.75" customHeight="1">
      <c r="A1" s="12" t="s">
        <v>51</v>
      </c>
      <c r="B1" s="12" t="s">
        <v>13</v>
      </c>
      <c r="C1" s="12" t="s">
        <v>30</v>
      </c>
      <c r="D1" s="12" t="s">
        <v>18</v>
      </c>
      <c r="E1" s="12" t="s">
        <v>31</v>
      </c>
      <c r="F1" s="12" t="s">
        <v>14</v>
      </c>
      <c r="G1" s="12" t="s">
        <v>550</v>
      </c>
      <c r="H1" s="12" t="s">
        <v>563</v>
      </c>
      <c r="I1" s="12" t="s">
        <v>564</v>
      </c>
      <c r="J1" s="12" t="s">
        <v>548</v>
      </c>
      <c r="K1" s="12" t="s">
        <v>551</v>
      </c>
      <c r="L1" s="12" t="s">
        <v>549</v>
      </c>
    </row>
    <row r="2" spans="1:12">
      <c r="A2" s="36" t="s">
        <v>492</v>
      </c>
      <c r="B2" s="39">
        <f>Table4[[#This Row],[Date plantation]]-Table4[[#This Row],[Tps motte]]</f>
        <v>42679</v>
      </c>
      <c r="C2" s="38">
        <v>0</v>
      </c>
      <c r="D2" s="39">
        <v>42679</v>
      </c>
      <c r="E2" s="38">
        <v>170</v>
      </c>
      <c r="F2" s="39">
        <f t="shared" ref="F2:F33" si="0">B2+E2</f>
        <v>42849</v>
      </c>
      <c r="G2" s="37">
        <v>40</v>
      </c>
      <c r="H2" s="37"/>
      <c r="I2" s="69">
        <f>Table4[[#This Row],[Qté plants/m²]]*Table4[[#This Row],[Surface (m²)]]</f>
        <v>0</v>
      </c>
      <c r="J2" s="37">
        <v>4</v>
      </c>
      <c r="K2" s="5" t="s">
        <v>33</v>
      </c>
      <c r="L2" s="37">
        <f>Table4[[#This Row],[Productivité/m²]]*Table4[[#This Row],[Surface (m²)]]</f>
        <v>160</v>
      </c>
    </row>
    <row r="3" spans="1:12">
      <c r="A3" s="19" t="s">
        <v>413</v>
      </c>
      <c r="B3" s="39">
        <f>Table4[[#This Row],[Date plantation]]-Table4[[#This Row],[Tps motte]]</f>
        <v>42695</v>
      </c>
      <c r="C3" s="38"/>
      <c r="D3" s="39">
        <v>42695</v>
      </c>
      <c r="E3" s="38">
        <v>170</v>
      </c>
      <c r="F3" s="39">
        <f t="shared" si="0"/>
        <v>42865</v>
      </c>
      <c r="G3" s="37">
        <v>40</v>
      </c>
      <c r="H3" s="37"/>
      <c r="I3" s="69">
        <f>Table4[[#This Row],[Qté plants/m²]]*Table4[[#This Row],[Surface (m²)]]</f>
        <v>0</v>
      </c>
      <c r="J3" s="37">
        <v>5</v>
      </c>
      <c r="K3" s="4" t="s">
        <v>32</v>
      </c>
      <c r="L3" s="37">
        <f>Table4[[#This Row],[Productivité/m²]]*Table4[[#This Row],[Surface (m²)]]</f>
        <v>200</v>
      </c>
    </row>
    <row r="4" spans="1:12">
      <c r="A4" s="19" t="s">
        <v>553</v>
      </c>
      <c r="B4" s="39">
        <f>Table4[[#This Row],[Date plantation]]-Table4[[#This Row],[Tps motte]]</f>
        <v>42741</v>
      </c>
      <c r="C4" s="3">
        <v>45</v>
      </c>
      <c r="D4" s="39">
        <v>42786</v>
      </c>
      <c r="E4" s="3">
        <v>75</v>
      </c>
      <c r="F4" s="4">
        <f t="shared" si="0"/>
        <v>42816</v>
      </c>
      <c r="G4" s="37">
        <v>20</v>
      </c>
      <c r="H4" s="37">
        <v>100</v>
      </c>
      <c r="I4" s="69">
        <f>Table4[[#This Row],[Qté plants/m²]]*Table4[[#This Row],[Surface (m²)]]</f>
        <v>2000</v>
      </c>
      <c r="J4" s="37">
        <v>1</v>
      </c>
      <c r="K4" s="4" t="s">
        <v>33</v>
      </c>
      <c r="L4" s="37">
        <f>Table4[[#This Row],[Productivité/m²]]*Table4[[#This Row],[Surface (m²)]]</f>
        <v>20</v>
      </c>
    </row>
    <row r="5" spans="1:12">
      <c r="A5" s="19" t="s">
        <v>596</v>
      </c>
      <c r="B5" s="39">
        <f>Table4[[#This Row],[Date plantation]]-Table4[[#This Row],[Tps motte]]</f>
        <v>42744</v>
      </c>
      <c r="C5" s="38">
        <v>36</v>
      </c>
      <c r="D5" s="39">
        <v>42780</v>
      </c>
      <c r="E5" s="38">
        <v>130</v>
      </c>
      <c r="F5" s="39">
        <f t="shared" si="0"/>
        <v>42874</v>
      </c>
      <c r="G5" s="37">
        <v>60</v>
      </c>
      <c r="H5" s="37">
        <v>20</v>
      </c>
      <c r="I5" s="69">
        <f>Table4[[#This Row],[Qté plants/m²]]*Table4[[#This Row],[Surface (m²)]]</f>
        <v>1200</v>
      </c>
      <c r="J5" s="37">
        <v>7</v>
      </c>
      <c r="K5" s="4" t="s">
        <v>32</v>
      </c>
      <c r="L5" s="37">
        <f>Table4[[#This Row],[Productivité/m²]]*Table4[[#This Row],[Surface (m²)]]</f>
        <v>420</v>
      </c>
    </row>
    <row r="6" spans="1:12">
      <c r="A6" s="65" t="s">
        <v>594</v>
      </c>
      <c r="B6" s="39">
        <f>Table4[[#This Row],[Date plantation]]-Table4[[#This Row],[Tps motte]]</f>
        <v>42744</v>
      </c>
      <c r="C6" s="38">
        <v>36</v>
      </c>
      <c r="D6" s="39">
        <v>42780</v>
      </c>
      <c r="E6" s="38">
        <v>90</v>
      </c>
      <c r="F6" s="39">
        <f t="shared" si="0"/>
        <v>42834</v>
      </c>
      <c r="G6" s="37">
        <v>20</v>
      </c>
      <c r="H6" s="37">
        <v>30</v>
      </c>
      <c r="I6" s="70">
        <f>Table4[[#This Row],[Qté plants/m²]]*Table4[[#This Row],[Surface (m²)]]</f>
        <v>600</v>
      </c>
      <c r="J6" s="37">
        <v>5</v>
      </c>
      <c r="K6" s="67" t="s">
        <v>32</v>
      </c>
      <c r="L6" s="37">
        <f>Table4[[#This Row],[Productivité/m²]]*Table4[[#This Row],[Surface (m²)]]</f>
        <v>100</v>
      </c>
    </row>
    <row r="7" spans="1:12">
      <c r="A7" s="19" t="s">
        <v>555</v>
      </c>
      <c r="B7" s="39">
        <f>Table4[[#This Row],[Date plantation]]-Table4[[#This Row],[Tps motte]]</f>
        <v>42747</v>
      </c>
      <c r="C7" s="38">
        <v>36</v>
      </c>
      <c r="D7" s="39">
        <v>42783</v>
      </c>
      <c r="E7" s="38">
        <v>120</v>
      </c>
      <c r="F7" s="39">
        <f t="shared" si="0"/>
        <v>42867</v>
      </c>
      <c r="G7" s="37">
        <v>20</v>
      </c>
      <c r="H7" s="37">
        <v>15</v>
      </c>
      <c r="I7" s="69">
        <f>Table4[[#This Row],[Qté plants/m²]]*Table4[[#This Row],[Surface (m²)]]</f>
        <v>300</v>
      </c>
      <c r="J7" s="37">
        <v>2</v>
      </c>
      <c r="K7" s="4" t="s">
        <v>33</v>
      </c>
      <c r="L7" s="37">
        <f>Table4[[#This Row],[Productivité/m²]]*Table4[[#This Row],[Surface (m²)]]</f>
        <v>40</v>
      </c>
    </row>
    <row r="8" spans="1:12">
      <c r="A8" s="19" t="s">
        <v>595</v>
      </c>
      <c r="B8" s="39">
        <f>Table4[[#This Row],[Date plantation]]-Table4[[#This Row],[Tps motte]]</f>
        <v>42758</v>
      </c>
      <c r="C8" s="38">
        <v>28</v>
      </c>
      <c r="D8" s="39">
        <v>42786</v>
      </c>
      <c r="E8" s="38">
        <v>90</v>
      </c>
      <c r="F8" s="39">
        <f t="shared" si="0"/>
        <v>42848</v>
      </c>
      <c r="G8" s="37">
        <v>40</v>
      </c>
      <c r="H8" s="37">
        <v>6</v>
      </c>
      <c r="I8" s="69">
        <f>Table4[[#This Row],[Qté plants/m²]]*Table4[[#This Row],[Surface (m²)]]</f>
        <v>240</v>
      </c>
      <c r="J8" s="37">
        <v>4</v>
      </c>
      <c r="K8" s="4" t="s">
        <v>552</v>
      </c>
      <c r="L8" s="37">
        <f>Table4[[#This Row],[Productivité/m²]]*Table4[[#This Row],[Surface (m²)]]</f>
        <v>160</v>
      </c>
    </row>
    <row r="9" spans="1:12">
      <c r="A9" s="19" t="s">
        <v>686</v>
      </c>
      <c r="B9" s="39">
        <f>Table4[[#This Row],[Date plantation]]-Table4[[#This Row],[Tps motte]]</f>
        <v>42758</v>
      </c>
      <c r="C9" s="3">
        <v>45</v>
      </c>
      <c r="D9" s="39">
        <v>42803</v>
      </c>
      <c r="E9" s="3">
        <v>75</v>
      </c>
      <c r="F9" s="4">
        <f t="shared" si="0"/>
        <v>42833</v>
      </c>
      <c r="G9" s="37">
        <v>20</v>
      </c>
      <c r="H9" s="37">
        <v>100</v>
      </c>
      <c r="I9" s="69">
        <f>Table4[[#This Row],[Qté plants/m²]]*Table4[[#This Row],[Surface (m²)]]</f>
        <v>2000</v>
      </c>
      <c r="J9" s="37">
        <v>1</v>
      </c>
      <c r="K9" s="4" t="s">
        <v>33</v>
      </c>
      <c r="L9" s="37">
        <f>Table4[[#This Row],[Productivité/m²]]*Table4[[#This Row],[Surface (m²)]]</f>
        <v>20</v>
      </c>
    </row>
    <row r="10" spans="1:12">
      <c r="A10" s="19" t="s">
        <v>545</v>
      </c>
      <c r="B10" s="39">
        <f>Table4[[#This Row],[Date plantation]]-Table4[[#This Row],[Tps motte]]</f>
        <v>42758</v>
      </c>
      <c r="C10" s="38">
        <v>28</v>
      </c>
      <c r="D10" s="39">
        <v>42786</v>
      </c>
      <c r="E10" s="38">
        <v>75</v>
      </c>
      <c r="F10" s="39">
        <f t="shared" si="0"/>
        <v>42833</v>
      </c>
      <c r="G10" s="37">
        <v>40</v>
      </c>
      <c r="H10" s="37">
        <v>20</v>
      </c>
      <c r="I10" s="69">
        <f>Table4[[#This Row],[Qté plants/m²]]*Table4[[#This Row],[Surface (m²)]]</f>
        <v>800</v>
      </c>
      <c r="J10" s="37">
        <v>1.5</v>
      </c>
      <c r="K10" s="4" t="s">
        <v>33</v>
      </c>
      <c r="L10" s="37">
        <f>Table4[[#This Row],[Productivité/m²]]*Table4[[#This Row],[Surface (m²)]]</f>
        <v>60</v>
      </c>
    </row>
    <row r="11" spans="1:12">
      <c r="A11" s="19" t="s">
        <v>547</v>
      </c>
      <c r="B11" s="39">
        <f>Table4[[#This Row],[Date plantation]]-Table4[[#This Row],[Tps motte]]</f>
        <v>42758</v>
      </c>
      <c r="C11" s="38">
        <v>28</v>
      </c>
      <c r="D11" s="39">
        <v>42786</v>
      </c>
      <c r="E11" s="38">
        <v>60</v>
      </c>
      <c r="F11" s="39">
        <f t="shared" si="0"/>
        <v>42818</v>
      </c>
      <c r="G11" s="37">
        <v>20</v>
      </c>
      <c r="H11" s="37">
        <v>60</v>
      </c>
      <c r="I11" s="69">
        <f>Table4[[#This Row],[Qté plants/m²]]*Table4[[#This Row],[Surface (m²)]]</f>
        <v>1200</v>
      </c>
      <c r="J11" s="37">
        <v>2</v>
      </c>
      <c r="K11" s="4" t="s">
        <v>33</v>
      </c>
      <c r="L11" s="37">
        <f>Table4[[#This Row],[Productivité/m²]]*Table4[[#This Row],[Surface (m²)]]</f>
        <v>40</v>
      </c>
    </row>
    <row r="12" spans="1:12">
      <c r="A12" s="19" t="s">
        <v>565</v>
      </c>
      <c r="B12" s="39">
        <f>Table4[[#This Row],[Date plantation]]-Table4[[#This Row],[Tps motte]]</f>
        <v>42767</v>
      </c>
      <c r="C12" s="3">
        <v>20</v>
      </c>
      <c r="D12" s="39">
        <v>42787</v>
      </c>
      <c r="E12" s="3">
        <v>80</v>
      </c>
      <c r="F12" s="4">
        <f t="shared" si="0"/>
        <v>42847</v>
      </c>
      <c r="G12" s="37">
        <v>20</v>
      </c>
      <c r="H12" s="37">
        <v>40</v>
      </c>
      <c r="I12" s="69">
        <f>Table4[[#This Row],[Qté plants/m²]]*Table4[[#This Row],[Surface (m²)]]</f>
        <v>800</v>
      </c>
      <c r="J12" s="37">
        <v>4</v>
      </c>
      <c r="K12" s="4" t="s">
        <v>32</v>
      </c>
      <c r="L12" s="37">
        <f>Table4[[#This Row],[Productivité/m²]]*Table4[[#This Row],[Surface (m²)]]</f>
        <v>80</v>
      </c>
    </row>
    <row r="13" spans="1:12">
      <c r="A13" s="19" t="s">
        <v>566</v>
      </c>
      <c r="B13" s="39">
        <f>Table4[[#This Row],[Date plantation]]-Table4[[#This Row],[Tps motte]]</f>
        <v>42767</v>
      </c>
      <c r="C13" s="3">
        <v>20</v>
      </c>
      <c r="D13" s="39">
        <v>42787</v>
      </c>
      <c r="E13" s="3">
        <v>80</v>
      </c>
      <c r="F13" s="4">
        <f t="shared" si="0"/>
        <v>42847</v>
      </c>
      <c r="G13" s="37">
        <v>20</v>
      </c>
      <c r="H13" s="37">
        <v>40</v>
      </c>
      <c r="I13" s="69">
        <f>Table4[[#This Row],[Qté plants/m²]]*Table4[[#This Row],[Surface (m²)]]</f>
        <v>800</v>
      </c>
      <c r="J13" s="37">
        <v>3</v>
      </c>
      <c r="K13" s="4" t="s">
        <v>33</v>
      </c>
      <c r="L13" s="37">
        <f>Table4[[#This Row],[Productivité/m²]]*Table4[[#This Row],[Surface (m²)]]</f>
        <v>60</v>
      </c>
    </row>
    <row r="14" spans="1:12">
      <c r="A14" s="19" t="s">
        <v>557</v>
      </c>
      <c r="B14" s="39">
        <f>Table4[[#This Row],[Date plantation]]-Table4[[#This Row],[Tps motte]]</f>
        <v>42768</v>
      </c>
      <c r="C14" s="38">
        <v>35</v>
      </c>
      <c r="D14" s="39">
        <v>42803</v>
      </c>
      <c r="E14" s="38">
        <v>110</v>
      </c>
      <c r="F14" s="39">
        <f t="shared" si="0"/>
        <v>42878</v>
      </c>
      <c r="G14" s="37">
        <v>20</v>
      </c>
      <c r="H14" s="37">
        <v>15</v>
      </c>
      <c r="I14" s="69">
        <f>Table4[[#This Row],[Qté plants/m²]]*Table4[[#This Row],[Surface (m²)]]</f>
        <v>300</v>
      </c>
      <c r="J14" s="37">
        <v>10</v>
      </c>
      <c r="K14" s="4" t="s">
        <v>552</v>
      </c>
      <c r="L14" s="37">
        <f>Table4[[#This Row],[Productivité/m²]]*Table4[[#This Row],[Surface (m²)]]</f>
        <v>200</v>
      </c>
    </row>
    <row r="15" spans="1:12">
      <c r="A15" s="19" t="s">
        <v>558</v>
      </c>
      <c r="B15" s="39">
        <f>Table4[[#This Row],[Date plantation]]-Table4[[#This Row],[Tps motte]]</f>
        <v>42768</v>
      </c>
      <c r="C15" s="38">
        <v>35</v>
      </c>
      <c r="D15" s="39">
        <v>42803</v>
      </c>
      <c r="E15" s="38">
        <v>90</v>
      </c>
      <c r="F15" s="39">
        <f t="shared" si="0"/>
        <v>42858</v>
      </c>
      <c r="G15" s="37">
        <v>20</v>
      </c>
      <c r="H15" s="37">
        <v>9</v>
      </c>
      <c r="I15" s="69">
        <f>Table4[[#This Row],[Qté plants/m²]]*Table4[[#This Row],[Surface (m²)]]</f>
        <v>180</v>
      </c>
      <c r="J15" s="37">
        <v>5</v>
      </c>
      <c r="K15" s="4" t="s">
        <v>33</v>
      </c>
      <c r="L15" s="37">
        <f>Table4[[#This Row],[Productivité/m²]]*Table4[[#This Row],[Surface (m²)]]</f>
        <v>100</v>
      </c>
    </row>
    <row r="16" spans="1:12">
      <c r="A16" s="19" t="s">
        <v>559</v>
      </c>
      <c r="B16" s="39">
        <f>Table4[[#This Row],[Date plantation]]-Table4[[#This Row],[Tps motte]]</f>
        <v>42768</v>
      </c>
      <c r="C16" s="38">
        <v>35</v>
      </c>
      <c r="D16" s="39">
        <v>42803</v>
      </c>
      <c r="E16" s="38">
        <v>90</v>
      </c>
      <c r="F16" s="39">
        <f t="shared" si="0"/>
        <v>42858</v>
      </c>
      <c r="G16" s="37">
        <v>40</v>
      </c>
      <c r="H16" s="37">
        <v>16</v>
      </c>
      <c r="I16" s="69">
        <f>Table4[[#This Row],[Qté plants/m²]]*Table4[[#This Row],[Surface (m²)]]</f>
        <v>640</v>
      </c>
      <c r="J16" s="37">
        <v>3</v>
      </c>
      <c r="K16" s="4" t="s">
        <v>32</v>
      </c>
      <c r="L16" s="37">
        <f>Table4[[#This Row],[Productivité/m²]]*Table4[[#This Row],[Surface (m²)]]</f>
        <v>120</v>
      </c>
    </row>
    <row r="17" spans="1:12">
      <c r="A17" s="19" t="s">
        <v>560</v>
      </c>
      <c r="B17" s="39">
        <f>Table4[[#This Row],[Date plantation]]-Table4[[#This Row],[Tps motte]]</f>
        <v>42768</v>
      </c>
      <c r="C17" s="38">
        <v>35</v>
      </c>
      <c r="D17" s="39">
        <v>42803</v>
      </c>
      <c r="E17" s="38">
        <v>70</v>
      </c>
      <c r="F17" s="39">
        <f t="shared" si="0"/>
        <v>42838</v>
      </c>
      <c r="G17" s="37">
        <v>20</v>
      </c>
      <c r="H17" s="37">
        <v>8</v>
      </c>
      <c r="I17" s="69">
        <f>Table4[[#This Row],[Qté plants/m²]]*Table4[[#This Row],[Surface (m²)]]</f>
        <v>160</v>
      </c>
      <c r="J17" s="37">
        <v>5</v>
      </c>
      <c r="K17" s="4" t="s">
        <v>562</v>
      </c>
      <c r="L17" s="37">
        <f>Table4[[#This Row],[Productivité/m²]]*Table4[[#This Row],[Surface (m²)]]</f>
        <v>100</v>
      </c>
    </row>
    <row r="18" spans="1:12">
      <c r="A18" s="65" t="s">
        <v>597</v>
      </c>
      <c r="B18" s="67">
        <f>Table4[[#This Row],[Date plantation]]-Table4[[#This Row],[Tps motte]]</f>
        <v>42770</v>
      </c>
      <c r="C18" s="68">
        <v>37</v>
      </c>
      <c r="D18" s="67">
        <v>42807</v>
      </c>
      <c r="E18" s="68">
        <v>90</v>
      </c>
      <c r="F18" s="67">
        <f t="shared" si="0"/>
        <v>42860</v>
      </c>
      <c r="G18" s="37">
        <v>20</v>
      </c>
      <c r="H18" s="37">
        <v>30</v>
      </c>
      <c r="I18" s="70">
        <f>Table4[[#This Row],[Qté plants/m²]]*Table4[[#This Row],[Surface (m²)]]</f>
        <v>600</v>
      </c>
      <c r="J18" s="37">
        <v>5</v>
      </c>
      <c r="K18" s="67" t="s">
        <v>32</v>
      </c>
      <c r="L18" s="37">
        <f>Table4[[#This Row],[Productivité/m²]]*Table4[[#This Row],[Surface (m²)]]</f>
        <v>100</v>
      </c>
    </row>
    <row r="19" spans="1:12">
      <c r="A19" s="19" t="s">
        <v>554</v>
      </c>
      <c r="B19" s="39">
        <f>Table4[[#This Row],[Date plantation]]-Table4[[#This Row],[Tps motte]]</f>
        <v>42774</v>
      </c>
      <c r="C19" s="38">
        <v>28</v>
      </c>
      <c r="D19" s="39">
        <v>42802</v>
      </c>
      <c r="E19" s="38">
        <v>90</v>
      </c>
      <c r="F19" s="39">
        <f t="shared" si="0"/>
        <v>42864</v>
      </c>
      <c r="G19" s="37">
        <v>10</v>
      </c>
      <c r="H19" s="37">
        <v>12</v>
      </c>
      <c r="I19" s="69">
        <f>Table4[[#This Row],[Qté plants/m²]]*Table4[[#This Row],[Surface (m²)]]</f>
        <v>120</v>
      </c>
      <c r="J19" s="37">
        <v>9</v>
      </c>
      <c r="K19" s="4" t="s">
        <v>552</v>
      </c>
      <c r="L19" s="37">
        <f>Table4[[#This Row],[Productivité/m²]]*Table4[[#This Row],[Surface (m²)]]</f>
        <v>90</v>
      </c>
    </row>
    <row r="20" spans="1:12">
      <c r="A20" s="65" t="s">
        <v>567</v>
      </c>
      <c r="B20" s="67">
        <f>Table4[[#This Row],[Date plantation]]-Table4[[#This Row],[Tps motte]]</f>
        <v>42775</v>
      </c>
      <c r="C20" s="68">
        <v>28</v>
      </c>
      <c r="D20" s="67">
        <v>42803</v>
      </c>
      <c r="E20" s="68">
        <v>60</v>
      </c>
      <c r="F20" s="67">
        <f t="shared" si="0"/>
        <v>42835</v>
      </c>
      <c r="G20" s="37">
        <v>20</v>
      </c>
      <c r="H20" s="37">
        <v>60</v>
      </c>
      <c r="I20" s="69">
        <f>Table4[[#This Row],[Qté plants/m²]]*Table4[[#This Row],[Surface (m²)]]</f>
        <v>1200</v>
      </c>
      <c r="J20" s="37">
        <v>2</v>
      </c>
      <c r="K20" s="4" t="s">
        <v>33</v>
      </c>
      <c r="L20" s="37">
        <f>Table4[[#This Row],[Productivité/m²]]*Table4[[#This Row],[Surface (m²)]]</f>
        <v>40</v>
      </c>
    </row>
    <row r="21" spans="1:12">
      <c r="A21" s="19" t="s">
        <v>561</v>
      </c>
      <c r="B21" s="39">
        <f>Table4[[#This Row],[Date plantation]]-Table4[[#This Row],[Tps motte]]</f>
        <v>42775</v>
      </c>
      <c r="C21" s="38">
        <v>25</v>
      </c>
      <c r="D21" s="39">
        <v>42800</v>
      </c>
      <c r="E21" s="38">
        <v>90</v>
      </c>
      <c r="F21" s="39">
        <f t="shared" si="0"/>
        <v>42865</v>
      </c>
      <c r="G21" s="37">
        <v>20</v>
      </c>
      <c r="H21" s="37">
        <v>50</v>
      </c>
      <c r="I21" s="69">
        <f>Table4[[#This Row],[Qté plants/m²]]*Table4[[#This Row],[Surface (m²)]]</f>
        <v>1000</v>
      </c>
      <c r="J21" s="37">
        <v>4</v>
      </c>
      <c r="K21" s="4" t="s">
        <v>32</v>
      </c>
      <c r="L21" s="37">
        <f>Table4[[#This Row],[Productivité/m²]]*Table4[[#This Row],[Surface (m²)]]</f>
        <v>80</v>
      </c>
    </row>
    <row r="22" spans="1:12">
      <c r="A22" s="65" t="s">
        <v>556</v>
      </c>
      <c r="B22" s="67">
        <f>Table4[[#This Row],[Date plantation]]-Table4[[#This Row],[Tps motte]]</f>
        <v>42780</v>
      </c>
      <c r="C22" s="68"/>
      <c r="D22" s="67">
        <v>42780</v>
      </c>
      <c r="E22" s="68">
        <v>120</v>
      </c>
      <c r="F22" s="67">
        <f t="shared" si="0"/>
        <v>42900</v>
      </c>
      <c r="G22" s="37">
        <v>20</v>
      </c>
      <c r="H22" s="37"/>
      <c r="I22" s="69">
        <f>Table4[[#This Row],[Qté plants/m²]]*Table4[[#This Row],[Surface (m²)]]</f>
        <v>0</v>
      </c>
      <c r="J22" s="37">
        <v>5</v>
      </c>
      <c r="K22" s="67" t="s">
        <v>32</v>
      </c>
      <c r="L22" s="37">
        <f>Table4[[#This Row],[Productivité/m²]]*Table4[[#This Row],[Surface (m²)]]</f>
        <v>100</v>
      </c>
    </row>
    <row r="23" spans="1:12">
      <c r="A23" s="19" t="s">
        <v>546</v>
      </c>
      <c r="B23" s="39">
        <f>Table4[[#This Row],[Date plantation]]-Table4[[#This Row],[Tps motte]]</f>
        <v>42782</v>
      </c>
      <c r="C23" s="38">
        <v>21</v>
      </c>
      <c r="D23" s="39">
        <v>42803</v>
      </c>
      <c r="E23" s="38">
        <v>65</v>
      </c>
      <c r="F23" s="39">
        <f t="shared" si="0"/>
        <v>42847</v>
      </c>
      <c r="G23" s="37">
        <v>60</v>
      </c>
      <c r="H23" s="37">
        <v>20</v>
      </c>
      <c r="I23" s="69">
        <f>Table4[[#This Row],[Qté plants/m²]]*Table4[[#This Row],[Surface (m²)]]</f>
        <v>1200</v>
      </c>
      <c r="J23" s="37">
        <v>1.5</v>
      </c>
      <c r="K23" s="4" t="s">
        <v>33</v>
      </c>
      <c r="L23" s="37">
        <f>Table4[[#This Row],[Productivité/m²]]*Table4[[#This Row],[Surface (m²)]]</f>
        <v>90</v>
      </c>
    </row>
    <row r="24" spans="1:12">
      <c r="A24" s="19" t="s">
        <v>598</v>
      </c>
      <c r="B24" s="39">
        <f>Table4[[#This Row],[Date plantation]]-Table4[[#This Row],[Tps motte]]</f>
        <v>42786</v>
      </c>
      <c r="C24" s="38">
        <v>28</v>
      </c>
      <c r="D24" s="67">
        <v>42814</v>
      </c>
      <c r="E24" s="38">
        <v>90</v>
      </c>
      <c r="F24" s="39">
        <f t="shared" si="0"/>
        <v>42876</v>
      </c>
      <c r="G24" s="37">
        <v>40</v>
      </c>
      <c r="H24" s="37">
        <v>6</v>
      </c>
      <c r="I24" s="69">
        <f>Table4[[#This Row],[Qté plants/m²]]*Table4[[#This Row],[Surface (m²)]]</f>
        <v>240</v>
      </c>
      <c r="J24" s="37">
        <v>4</v>
      </c>
      <c r="K24" s="4" t="s">
        <v>552</v>
      </c>
      <c r="L24" s="37">
        <f>Table4[[#This Row],[Productivité/m²]]*Table4[[#This Row],[Surface (m²)]]</f>
        <v>160</v>
      </c>
    </row>
    <row r="25" spans="1:12">
      <c r="A25" s="19" t="s">
        <v>616</v>
      </c>
      <c r="B25" s="39">
        <f>Table4[[#This Row],[Date plantation]]-Table4[[#This Row],[Tps motte]]</f>
        <v>42787</v>
      </c>
      <c r="C25" s="38"/>
      <c r="D25" s="39">
        <v>42787</v>
      </c>
      <c r="E25" s="38">
        <v>40</v>
      </c>
      <c r="F25" s="39">
        <f t="shared" si="0"/>
        <v>42827</v>
      </c>
      <c r="G25" s="37">
        <v>20</v>
      </c>
      <c r="H25" s="37"/>
      <c r="I25" s="69">
        <f>Table4[[#This Row],[Qté plants/m²]]*Table4[[#This Row],[Surface (m²)]]</f>
        <v>0</v>
      </c>
      <c r="J25" s="37">
        <v>4</v>
      </c>
      <c r="K25" s="4" t="s">
        <v>32</v>
      </c>
      <c r="L25" s="37">
        <f>Table4[[#This Row],[Productivité/m²]]*Table4[[#This Row],[Surface (m²)]]</f>
        <v>80</v>
      </c>
    </row>
    <row r="26" spans="1:12">
      <c r="A26" s="19" t="s">
        <v>695</v>
      </c>
      <c r="B26" s="39">
        <f>Table4[[#This Row],[Date plantation]]-Table4[[#This Row],[Tps motte]]</f>
        <v>42789</v>
      </c>
      <c r="C26" s="38">
        <v>71</v>
      </c>
      <c r="D26" s="39">
        <v>42860</v>
      </c>
      <c r="E26" s="38">
        <v>120</v>
      </c>
      <c r="F26" s="39">
        <f t="shared" si="0"/>
        <v>42909</v>
      </c>
      <c r="G26" s="37">
        <v>30</v>
      </c>
      <c r="H26" s="37">
        <v>1.5</v>
      </c>
      <c r="I26" s="69">
        <f>Table4[[#This Row],[Qté plants/m²]]*Table4[[#This Row],[Surface (m²)]]</f>
        <v>45</v>
      </c>
      <c r="J26" s="37">
        <v>1.5</v>
      </c>
      <c r="K26" s="4" t="s">
        <v>33</v>
      </c>
      <c r="L26" s="37">
        <f>Table4[[#This Row],[Productivité/m²]]*Table4[[#This Row],[Surface (m²)]]</f>
        <v>45</v>
      </c>
    </row>
    <row r="27" spans="1:12">
      <c r="A27" s="19" t="s">
        <v>696</v>
      </c>
      <c r="B27" s="39">
        <f>Table4[[#This Row],[Date plantation]]-Table4[[#This Row],[Tps motte]]</f>
        <v>42789</v>
      </c>
      <c r="C27" s="38">
        <v>71</v>
      </c>
      <c r="D27" s="39">
        <v>42860</v>
      </c>
      <c r="E27" s="3">
        <v>140</v>
      </c>
      <c r="F27" s="4">
        <f t="shared" si="0"/>
        <v>42929</v>
      </c>
      <c r="G27" s="37">
        <v>70</v>
      </c>
      <c r="H27" s="37">
        <v>1.5</v>
      </c>
      <c r="I27" s="69">
        <f>Table4[[#This Row],[Qté plants/m²]]*Table4[[#This Row],[Surface (m²)]]</f>
        <v>105</v>
      </c>
      <c r="J27" s="37">
        <v>5</v>
      </c>
      <c r="K27" s="4" t="s">
        <v>33</v>
      </c>
      <c r="L27" s="37">
        <f>Table4[[#This Row],[Productivité/m²]]*Table4[[#This Row],[Surface (m²)]]</f>
        <v>350</v>
      </c>
    </row>
    <row r="28" spans="1:12">
      <c r="A28" s="19" t="s">
        <v>697</v>
      </c>
      <c r="B28" s="39">
        <f>Table4[[#This Row],[Date plantation]]-Table4[[#This Row],[Tps motte]]</f>
        <v>42789</v>
      </c>
      <c r="C28" s="38">
        <v>71</v>
      </c>
      <c r="D28" s="39">
        <v>42860</v>
      </c>
      <c r="E28" s="3">
        <v>140</v>
      </c>
      <c r="F28" s="4">
        <f t="shared" si="0"/>
        <v>42929</v>
      </c>
      <c r="G28" s="37">
        <v>50</v>
      </c>
      <c r="H28" s="37">
        <v>1.5</v>
      </c>
      <c r="I28" s="69">
        <f>Table4[[#This Row],[Qté plants/m²]]*Table4[[#This Row],[Surface (m²)]]</f>
        <v>75</v>
      </c>
      <c r="J28" s="37">
        <v>5</v>
      </c>
      <c r="K28" s="4" t="s">
        <v>33</v>
      </c>
      <c r="L28" s="37">
        <f>Table4[[#This Row],[Productivité/m²]]*Table4[[#This Row],[Surface (m²)]]</f>
        <v>250</v>
      </c>
    </row>
    <row r="29" spans="1:12">
      <c r="A29" s="65" t="s">
        <v>615</v>
      </c>
      <c r="B29" s="67">
        <f>Table4[[#This Row],[Date plantation]]-Table4[[#This Row],[Tps motte]]</f>
        <v>42790</v>
      </c>
      <c r="C29" s="68"/>
      <c r="D29" s="67">
        <v>42790</v>
      </c>
      <c r="E29" s="68">
        <v>40</v>
      </c>
      <c r="F29" s="67">
        <f t="shared" si="0"/>
        <v>42830</v>
      </c>
      <c r="G29" s="37">
        <v>40</v>
      </c>
      <c r="H29" s="37"/>
      <c r="I29" s="70">
        <f>Table4[[#This Row],[Qté plants/m²]]*Table4[[#This Row],[Surface (m²)]]</f>
        <v>0</v>
      </c>
      <c r="J29" s="37">
        <v>2</v>
      </c>
      <c r="K29" s="67" t="s">
        <v>32</v>
      </c>
      <c r="L29" s="37">
        <f>Table4[[#This Row],[Productivité/m²]]*Table4[[#This Row],[Surface (m²)]]</f>
        <v>80</v>
      </c>
    </row>
    <row r="30" spans="1:12">
      <c r="A30" s="65" t="s">
        <v>618</v>
      </c>
      <c r="B30" s="67">
        <f>Table4[[#This Row],[Date plantation]]-Table4[[#This Row],[Tps motte]]</f>
        <v>42800</v>
      </c>
      <c r="C30" s="68"/>
      <c r="D30" s="67">
        <v>42800</v>
      </c>
      <c r="E30" s="68">
        <v>40</v>
      </c>
      <c r="F30" s="67">
        <f t="shared" si="0"/>
        <v>42840</v>
      </c>
      <c r="G30" s="37">
        <v>40</v>
      </c>
      <c r="H30" s="66"/>
      <c r="I30" s="70">
        <f>Table4[[#This Row],[Qté plants/m²]]*Table4[[#This Row],[Surface (m²)]]</f>
        <v>0</v>
      </c>
      <c r="J30" s="37">
        <v>5</v>
      </c>
      <c r="K30" s="67" t="s">
        <v>32</v>
      </c>
      <c r="L30" s="37">
        <f>Table4[[#This Row],[Productivité/m²]]*Table4[[#This Row],[Surface (m²)]]</f>
        <v>200</v>
      </c>
    </row>
    <row r="31" spans="1:12">
      <c r="A31" s="19" t="s">
        <v>602</v>
      </c>
      <c r="B31" s="39">
        <f>Table4[[#This Row],[Date plantation]]-Table4[[#This Row],[Tps motte]]</f>
        <v>42802</v>
      </c>
      <c r="C31" s="3">
        <v>26</v>
      </c>
      <c r="D31" s="39">
        <v>42828</v>
      </c>
      <c r="E31" s="3">
        <v>90</v>
      </c>
      <c r="F31" s="4">
        <f t="shared" si="0"/>
        <v>42892</v>
      </c>
      <c r="G31" s="37">
        <v>10</v>
      </c>
      <c r="H31" s="37">
        <v>12</v>
      </c>
      <c r="I31" s="69">
        <f>Table4[[#This Row],[Qté plants/m²]]*Table4[[#This Row],[Surface (m²)]]</f>
        <v>120</v>
      </c>
      <c r="J31" s="37">
        <v>8</v>
      </c>
      <c r="K31" s="4" t="s">
        <v>552</v>
      </c>
      <c r="L31" s="37">
        <f>Table4[[#This Row],[Productivité/m²]]*Table4[[#This Row],[Surface (m²)]]</f>
        <v>80</v>
      </c>
    </row>
    <row r="32" spans="1:12">
      <c r="A32" s="65" t="s">
        <v>617</v>
      </c>
      <c r="B32" s="67">
        <f>Table4[[#This Row],[Date plantation]]-Table4[[#This Row],[Tps motte]]</f>
        <v>42807</v>
      </c>
      <c r="C32" s="68"/>
      <c r="D32" s="67">
        <v>42807</v>
      </c>
      <c r="E32" s="68">
        <v>40</v>
      </c>
      <c r="F32" s="67">
        <f t="shared" si="0"/>
        <v>42847</v>
      </c>
      <c r="G32" s="67"/>
      <c r="H32" s="66"/>
      <c r="I32" s="70">
        <f>Table4[[#This Row],[Qté plants/m²]]*Table4[[#This Row],[Surface (m²)]]</f>
        <v>0</v>
      </c>
      <c r="J32" s="67"/>
      <c r="K32" s="67"/>
      <c r="L32" s="37">
        <f>Table4[[#This Row],[Productivité/m²]]*Table4[[#This Row],[Surface (m²)]]</f>
        <v>0</v>
      </c>
    </row>
    <row r="33" spans="1:12">
      <c r="A33" s="65" t="s">
        <v>614</v>
      </c>
      <c r="B33" s="67">
        <f>Table4[[#This Row],[Date plantation]]-Table4[[#This Row],[Tps motte]]</f>
        <v>42807</v>
      </c>
      <c r="C33" s="68"/>
      <c r="D33" s="67">
        <v>42807</v>
      </c>
      <c r="E33" s="68">
        <v>120</v>
      </c>
      <c r="F33" s="67">
        <f t="shared" si="0"/>
        <v>42927</v>
      </c>
      <c r="G33" s="37">
        <v>20</v>
      </c>
      <c r="H33" s="66"/>
      <c r="I33" s="70">
        <f>Table4[[#This Row],[Qté plants/m²]]*Table4[[#This Row],[Surface (m²)]]</f>
        <v>0</v>
      </c>
      <c r="J33" s="37">
        <v>5</v>
      </c>
      <c r="K33" s="67" t="s">
        <v>32</v>
      </c>
      <c r="L33" s="37">
        <f>Table4[[#This Row],[Productivité/m²]]*Table4[[#This Row],[Surface (m²)]]</f>
        <v>100</v>
      </c>
    </row>
    <row r="34" spans="1:12">
      <c r="A34" s="65" t="s">
        <v>623</v>
      </c>
      <c r="B34" s="67">
        <f>Table4[[#This Row],[Date plantation]]-Table4[[#This Row],[Tps motte]]</f>
        <v>42807</v>
      </c>
      <c r="C34" s="68">
        <v>30</v>
      </c>
      <c r="D34" s="67">
        <v>42837</v>
      </c>
      <c r="E34" s="68">
        <v>112</v>
      </c>
      <c r="F34" s="67">
        <f t="shared" ref="F34:F65" si="1">B34+E34</f>
        <v>42919</v>
      </c>
      <c r="G34" s="37">
        <v>20</v>
      </c>
      <c r="H34" s="66">
        <v>50</v>
      </c>
      <c r="I34" s="70">
        <f>Table4[[#This Row],[Qté plants/m²]]*Table4[[#This Row],[Surface (m²)]]</f>
        <v>1000</v>
      </c>
      <c r="J34" s="37">
        <v>100</v>
      </c>
      <c r="K34" s="67" t="s">
        <v>552</v>
      </c>
      <c r="L34" s="37">
        <f>Table4[[#This Row],[Productivité/m²]]*Table4[[#This Row],[Surface (m²)]]</f>
        <v>2000</v>
      </c>
    </row>
    <row r="35" spans="1:12">
      <c r="A35" s="65" t="s">
        <v>570</v>
      </c>
      <c r="B35" s="67">
        <f>Table4[[#This Row],[Date plantation]]-Table4[[#This Row],[Tps motte]]</f>
        <v>42809</v>
      </c>
      <c r="C35" s="68">
        <v>21</v>
      </c>
      <c r="D35" s="67">
        <v>42830</v>
      </c>
      <c r="E35" s="68">
        <v>60</v>
      </c>
      <c r="F35" s="67">
        <f t="shared" si="1"/>
        <v>42869</v>
      </c>
      <c r="G35" s="37">
        <v>10</v>
      </c>
      <c r="H35" s="37">
        <v>60</v>
      </c>
      <c r="I35" s="69">
        <f>Table4[[#This Row],[Qté plants/m²]]*Table4[[#This Row],[Surface (m²)]]</f>
        <v>600</v>
      </c>
      <c r="J35" s="37">
        <v>2</v>
      </c>
      <c r="K35" s="4" t="s">
        <v>33</v>
      </c>
      <c r="L35" s="37">
        <f>Table4[[#This Row],[Productivité/m²]]*Table4[[#This Row],[Surface (m²)]]</f>
        <v>20</v>
      </c>
    </row>
    <row r="36" spans="1:12">
      <c r="A36" s="19" t="s">
        <v>591</v>
      </c>
      <c r="B36" s="39">
        <f>Table4[[#This Row],[Date plantation]]-Table4[[#This Row],[Tps motte]]</f>
        <v>42809</v>
      </c>
      <c r="C36" s="3"/>
      <c r="D36" s="39">
        <v>42809</v>
      </c>
      <c r="E36" s="3">
        <v>160</v>
      </c>
      <c r="F36" s="4">
        <f t="shared" si="1"/>
        <v>42969</v>
      </c>
      <c r="G36" s="37"/>
      <c r="H36" s="37"/>
      <c r="I36" s="69">
        <f>Table4[[#This Row],[Qté plants/m²]]*Table4[[#This Row],[Surface (m²)]]</f>
        <v>0</v>
      </c>
      <c r="J36" s="37"/>
      <c r="K36" s="4"/>
      <c r="L36" s="37">
        <f>Table4[[#This Row],[Productivité/m²]]*Table4[[#This Row],[Surface (m²)]]</f>
        <v>0</v>
      </c>
    </row>
    <row r="37" spans="1:12">
      <c r="A37" s="19" t="s">
        <v>573</v>
      </c>
      <c r="B37" s="39">
        <f>Table4[[#This Row],[Date plantation]]-Table4[[#This Row],[Tps motte]]</f>
        <v>42812</v>
      </c>
      <c r="C37" s="3">
        <v>19</v>
      </c>
      <c r="D37" s="39">
        <v>42831</v>
      </c>
      <c r="E37" s="3">
        <v>90</v>
      </c>
      <c r="F37" s="4">
        <f t="shared" si="1"/>
        <v>42902</v>
      </c>
      <c r="G37" s="37">
        <v>30</v>
      </c>
      <c r="H37" s="37">
        <v>2</v>
      </c>
      <c r="I37" s="69">
        <f>Table4[[#This Row],[Qté plants/m²]]*Table4[[#This Row],[Surface (m²)]]</f>
        <v>60</v>
      </c>
      <c r="J37" s="37">
        <v>5</v>
      </c>
      <c r="K37" s="4" t="s">
        <v>33</v>
      </c>
      <c r="L37" s="37">
        <f>Table4[[#This Row],[Productivité/m²]]*Table4[[#This Row],[Surface (m²)]]</f>
        <v>150</v>
      </c>
    </row>
    <row r="38" spans="1:12">
      <c r="A38" s="65" t="s">
        <v>637</v>
      </c>
      <c r="B38" s="67">
        <f>Table4[[#This Row],[Date plantation]]-Table4[[#This Row],[Tps motte]]</f>
        <v>42815</v>
      </c>
      <c r="C38" s="68">
        <v>22</v>
      </c>
      <c r="D38" s="67">
        <v>42837</v>
      </c>
      <c r="E38" s="68">
        <v>85</v>
      </c>
      <c r="F38" s="67">
        <f t="shared" si="1"/>
        <v>42900</v>
      </c>
      <c r="G38" s="37">
        <v>20</v>
      </c>
      <c r="H38" s="37">
        <v>50</v>
      </c>
      <c r="I38" s="69">
        <f>Table4[[#This Row],[Qté plants/m²]]*Table4[[#This Row],[Surface (m²)]]</f>
        <v>1000</v>
      </c>
      <c r="J38" s="37">
        <v>4</v>
      </c>
      <c r="K38" s="4" t="s">
        <v>32</v>
      </c>
      <c r="L38" s="37">
        <f>Table4[[#This Row],[Productivité/m²]]*Table4[[#This Row],[Surface (m²)]]</f>
        <v>80</v>
      </c>
    </row>
    <row r="39" spans="1:12">
      <c r="A39" s="19" t="s">
        <v>585</v>
      </c>
      <c r="B39" s="39">
        <f>Table4[[#This Row],[Date plantation]]-Table4[[#This Row],[Tps motte]]</f>
        <v>42823</v>
      </c>
      <c r="C39" s="38">
        <v>64</v>
      </c>
      <c r="D39" s="39">
        <v>42887</v>
      </c>
      <c r="E39" s="40">
        <v>140</v>
      </c>
      <c r="F39" s="41">
        <f t="shared" si="1"/>
        <v>42963</v>
      </c>
      <c r="G39" s="37">
        <v>30</v>
      </c>
      <c r="H39" s="37">
        <v>2</v>
      </c>
      <c r="I39" s="69">
        <f>Table4[[#This Row],[Qté plants/m²]]*Table4[[#This Row],[Surface (m²)]]</f>
        <v>60</v>
      </c>
      <c r="J39" s="37">
        <v>5</v>
      </c>
      <c r="K39" s="4" t="s">
        <v>33</v>
      </c>
      <c r="L39" s="37">
        <f>Table4[[#This Row],[Productivité/m²]]*Table4[[#This Row],[Surface (m²)]]</f>
        <v>150</v>
      </c>
    </row>
    <row r="40" spans="1:12">
      <c r="A40" s="19" t="s">
        <v>698</v>
      </c>
      <c r="B40" s="39">
        <f>Table4[[#This Row],[Date plantation]]-Table4[[#This Row],[Tps motte]]</f>
        <v>42823</v>
      </c>
      <c r="C40" s="38">
        <v>64</v>
      </c>
      <c r="D40" s="39">
        <v>42887</v>
      </c>
      <c r="E40" s="38">
        <v>130</v>
      </c>
      <c r="F40" s="39">
        <f t="shared" si="1"/>
        <v>42953</v>
      </c>
      <c r="G40" s="37">
        <v>30</v>
      </c>
      <c r="H40" s="37">
        <v>1.5</v>
      </c>
      <c r="I40" s="69">
        <f>Table4[[#This Row],[Qté plants/m²]]*Table4[[#This Row],[Surface (m²)]]</f>
        <v>45</v>
      </c>
      <c r="J40" s="37">
        <v>5</v>
      </c>
      <c r="K40" s="4" t="s">
        <v>33</v>
      </c>
      <c r="L40" s="37">
        <f>Table4[[#This Row],[Productivité/m²]]*Table4[[#This Row],[Surface (m²)]]</f>
        <v>150</v>
      </c>
    </row>
    <row r="41" spans="1:12">
      <c r="A41" s="19" t="s">
        <v>699</v>
      </c>
      <c r="B41" s="39">
        <f>Table4[[#This Row],[Date plantation]]-Table4[[#This Row],[Tps motte]]</f>
        <v>42823</v>
      </c>
      <c r="C41" s="3">
        <v>64</v>
      </c>
      <c r="D41" s="39">
        <v>42887</v>
      </c>
      <c r="E41" s="3">
        <v>130</v>
      </c>
      <c r="F41" s="4">
        <f t="shared" si="1"/>
        <v>42953</v>
      </c>
      <c r="G41" s="37">
        <v>20</v>
      </c>
      <c r="H41" s="37">
        <v>1.5</v>
      </c>
      <c r="I41" s="69">
        <f>Table4[[#This Row],[Qté plants/m²]]*Table4[[#This Row],[Surface (m²)]]</f>
        <v>30</v>
      </c>
      <c r="J41" s="37">
        <v>5</v>
      </c>
      <c r="K41" s="4" t="s">
        <v>33</v>
      </c>
      <c r="L41" s="37">
        <f>Table4[[#This Row],[Productivité/m²]]*Table4[[#This Row],[Surface (m²)]]</f>
        <v>100</v>
      </c>
    </row>
    <row r="42" spans="1:12">
      <c r="A42" s="19" t="s">
        <v>603</v>
      </c>
      <c r="B42" s="39">
        <f>Table4[[#This Row],[Date plantation]]-Table4[[#This Row],[Tps motte]]</f>
        <v>42828</v>
      </c>
      <c r="C42" s="38">
        <v>21</v>
      </c>
      <c r="D42" s="39">
        <v>42849</v>
      </c>
      <c r="E42" s="38">
        <v>90</v>
      </c>
      <c r="F42" s="39">
        <f t="shared" si="1"/>
        <v>42918</v>
      </c>
      <c r="G42" s="37">
        <v>10</v>
      </c>
      <c r="H42" s="37">
        <v>12</v>
      </c>
      <c r="I42" s="69">
        <f>Table4[[#This Row],[Qté plants/m²]]*Table4[[#This Row],[Surface (m²)]]</f>
        <v>120</v>
      </c>
      <c r="J42" s="37">
        <v>8</v>
      </c>
      <c r="K42" s="4" t="s">
        <v>552</v>
      </c>
      <c r="L42" s="37">
        <f>Table4[[#This Row],[Productivité/m²]]*Table4[[#This Row],[Surface (m²)]]</f>
        <v>80</v>
      </c>
    </row>
    <row r="43" spans="1:12">
      <c r="A43" s="19" t="s">
        <v>626</v>
      </c>
      <c r="B43" s="39">
        <f>Table4[[#This Row],[Date plantation]]-Table4[[#This Row],[Tps motte]]</f>
        <v>42836</v>
      </c>
      <c r="C43" s="38">
        <v>21</v>
      </c>
      <c r="D43" s="39">
        <v>42857</v>
      </c>
      <c r="E43" s="38">
        <v>85</v>
      </c>
      <c r="F43" s="39">
        <f t="shared" si="1"/>
        <v>42921</v>
      </c>
      <c r="G43" s="37">
        <v>10</v>
      </c>
      <c r="H43" s="37">
        <v>12</v>
      </c>
      <c r="I43" s="69">
        <f>Table4[[#This Row],[Qté plants/m²]]*Table4[[#This Row],[Surface (m²)]]</f>
        <v>120</v>
      </c>
      <c r="J43" s="37">
        <v>8</v>
      </c>
      <c r="K43" s="4" t="s">
        <v>552</v>
      </c>
      <c r="L43" s="37">
        <f>Table4[[#This Row],[Productivité/m²]]*Table4[[#This Row],[Surface (m²)]]</f>
        <v>80</v>
      </c>
    </row>
    <row r="44" spans="1:12">
      <c r="A44" s="65" t="s">
        <v>677</v>
      </c>
      <c r="B44" s="67">
        <f>Table4[[#This Row],[Date plantation]]-Table4[[#This Row],[Tps motte]]</f>
        <v>42837</v>
      </c>
      <c r="C44" s="68"/>
      <c r="D44" s="67">
        <v>42837</v>
      </c>
      <c r="E44" s="68">
        <v>120</v>
      </c>
      <c r="F44" s="67">
        <f t="shared" si="1"/>
        <v>42957</v>
      </c>
      <c r="G44" s="37">
        <v>20</v>
      </c>
      <c r="H44" s="66"/>
      <c r="I44" s="70">
        <f>Table4[[#This Row],[Qté plants/m²]]*Table4[[#This Row],[Surface (m²)]]</f>
        <v>0</v>
      </c>
      <c r="J44" s="37">
        <v>4</v>
      </c>
      <c r="K44" s="67" t="s">
        <v>32</v>
      </c>
      <c r="L44" s="37">
        <f>Table4[[#This Row],[Productivité/m²]]*Table4[[#This Row],[Surface (m²)]]</f>
        <v>80</v>
      </c>
    </row>
    <row r="45" spans="1:12">
      <c r="A45" s="19" t="s">
        <v>701</v>
      </c>
      <c r="B45" s="39">
        <f>Table4[[#This Row],[Date plantation]]-Table4[[#This Row],[Tps motte]]</f>
        <v>42842</v>
      </c>
      <c r="C45" s="3">
        <v>18</v>
      </c>
      <c r="D45" s="39">
        <v>42860</v>
      </c>
      <c r="E45" s="3">
        <v>80</v>
      </c>
      <c r="F45" s="4">
        <f t="shared" si="1"/>
        <v>42922</v>
      </c>
      <c r="G45" s="37">
        <v>20</v>
      </c>
      <c r="H45" s="37">
        <v>2</v>
      </c>
      <c r="I45" s="69">
        <f>Table4[[#This Row],[Qté plants/m²]]*Table4[[#This Row],[Surface (m²)]]</f>
        <v>40</v>
      </c>
      <c r="J45" s="37">
        <v>2</v>
      </c>
      <c r="K45" s="4" t="s">
        <v>33</v>
      </c>
      <c r="L45" s="37">
        <f>Table4[[#This Row],[Productivité/m²]]*Table4[[#This Row],[Surface (m²)]]</f>
        <v>40</v>
      </c>
    </row>
    <row r="46" spans="1:12">
      <c r="A46" s="65" t="s">
        <v>627</v>
      </c>
      <c r="B46" s="67">
        <f>Table4[[#This Row],[Date plantation]]-Table4[[#This Row],[Tps motte]]</f>
        <v>42839</v>
      </c>
      <c r="C46" s="68">
        <v>19</v>
      </c>
      <c r="D46" s="67">
        <v>42858</v>
      </c>
      <c r="E46" s="68">
        <v>50</v>
      </c>
      <c r="F46" s="67">
        <f t="shared" si="1"/>
        <v>42889</v>
      </c>
      <c r="G46" s="37">
        <v>10</v>
      </c>
      <c r="H46" s="66">
        <v>60</v>
      </c>
      <c r="I46" s="70">
        <f>Table4[[#This Row],[Qté plants/m²]]*Table4[[#This Row],[Surface (m²)]]</f>
        <v>600</v>
      </c>
      <c r="J46" s="37">
        <v>2</v>
      </c>
      <c r="K46" s="67" t="s">
        <v>33</v>
      </c>
      <c r="L46" s="37">
        <f>Table4[[#This Row],[Productivité/m²]]*Table4[[#This Row],[Surface (m²)]]</f>
        <v>20</v>
      </c>
    </row>
    <row r="47" spans="1:12">
      <c r="A47" s="19" t="s">
        <v>574</v>
      </c>
      <c r="B47" s="39">
        <f>Table4[[#This Row],[Date plantation]]-Table4[[#This Row],[Tps motte]]</f>
        <v>42842</v>
      </c>
      <c r="C47" s="3">
        <v>17</v>
      </c>
      <c r="D47" s="39">
        <v>42859</v>
      </c>
      <c r="E47" s="3">
        <v>90</v>
      </c>
      <c r="F47" s="4">
        <f t="shared" si="1"/>
        <v>42932</v>
      </c>
      <c r="G47" s="37">
        <v>30</v>
      </c>
      <c r="H47" s="37">
        <v>2</v>
      </c>
      <c r="I47" s="69">
        <f>Table4[[#This Row],[Qté plants/m²]]*Table4[[#This Row],[Surface (m²)]]</f>
        <v>60</v>
      </c>
      <c r="J47" s="37">
        <v>5</v>
      </c>
      <c r="K47" s="4" t="s">
        <v>33</v>
      </c>
      <c r="L47" s="37">
        <f>Table4[[#This Row],[Productivité/m²]]*Table4[[#This Row],[Surface (m²)]]</f>
        <v>150</v>
      </c>
    </row>
    <row r="48" spans="1:12">
      <c r="A48" s="65" t="s">
        <v>638</v>
      </c>
      <c r="B48" s="67">
        <f>Table4[[#This Row],[Date plantation]]-Table4[[#This Row],[Tps motte]]</f>
        <v>42845</v>
      </c>
      <c r="C48" s="68">
        <v>22</v>
      </c>
      <c r="D48" s="67">
        <v>42867</v>
      </c>
      <c r="E48" s="68">
        <v>80</v>
      </c>
      <c r="F48" s="67">
        <f t="shared" si="1"/>
        <v>42925</v>
      </c>
      <c r="G48" s="37">
        <v>20</v>
      </c>
      <c r="H48" s="37">
        <v>50</v>
      </c>
      <c r="I48" s="69">
        <f>Table4[[#This Row],[Qté plants/m²]]*Table4[[#This Row],[Surface (m²)]]</f>
        <v>1000</v>
      </c>
      <c r="J48" s="37">
        <v>4</v>
      </c>
      <c r="K48" s="4" t="s">
        <v>32</v>
      </c>
      <c r="L48" s="37">
        <f>Table4[[#This Row],[Productivité/m²]]*Table4[[#This Row],[Surface (m²)]]</f>
        <v>80</v>
      </c>
    </row>
    <row r="49" spans="1:12">
      <c r="A49" s="19" t="s">
        <v>628</v>
      </c>
      <c r="B49" s="39">
        <f>Table4[[#This Row],[Date plantation]]-Table4[[#This Row],[Tps motte]]</f>
        <v>42848</v>
      </c>
      <c r="C49" s="38">
        <v>20</v>
      </c>
      <c r="D49" s="39">
        <v>42868</v>
      </c>
      <c r="E49" s="38">
        <v>80</v>
      </c>
      <c r="F49" s="39">
        <f t="shared" si="1"/>
        <v>42928</v>
      </c>
      <c r="G49" s="37">
        <v>10</v>
      </c>
      <c r="H49" s="37">
        <v>12</v>
      </c>
      <c r="I49" s="69">
        <f>Table4[[#This Row],[Qté plants/m²]]*Table4[[#This Row],[Surface (m²)]]</f>
        <v>120</v>
      </c>
      <c r="J49" s="37">
        <v>8</v>
      </c>
      <c r="K49" s="4" t="s">
        <v>552</v>
      </c>
      <c r="L49" s="37">
        <f>Table4[[#This Row],[Productivité/m²]]*Table4[[#This Row],[Surface (m²)]]</f>
        <v>80</v>
      </c>
    </row>
    <row r="50" spans="1:12">
      <c r="A50" s="19" t="s">
        <v>612</v>
      </c>
      <c r="B50" s="39">
        <f>Table4[[#This Row],[Date plantation]]-Table4[[#This Row],[Tps motte]]</f>
        <v>42858</v>
      </c>
      <c r="C50" s="38"/>
      <c r="D50" s="39">
        <v>42858</v>
      </c>
      <c r="E50" s="38">
        <v>60</v>
      </c>
      <c r="F50" s="39">
        <f t="shared" si="1"/>
        <v>42918</v>
      </c>
      <c r="G50" s="37">
        <v>40</v>
      </c>
      <c r="H50" s="37"/>
      <c r="I50" s="69">
        <f>Table4[[#This Row],[Qté plants/m²]]*Table4[[#This Row],[Surface (m²)]]</f>
        <v>0</v>
      </c>
      <c r="J50" s="37">
        <v>1</v>
      </c>
      <c r="K50" s="4" t="s">
        <v>33</v>
      </c>
      <c r="L50" s="37">
        <f>Table4[[#This Row],[Productivité/m²]]*Table4[[#This Row],[Surface (m²)]]</f>
        <v>40</v>
      </c>
    </row>
    <row r="51" spans="1:12">
      <c r="A51" s="65" t="s">
        <v>625</v>
      </c>
      <c r="B51" s="67">
        <f>Table4[[#This Row],[Date plantation]]-Table4[[#This Row],[Tps motte]]</f>
        <v>42862</v>
      </c>
      <c r="C51" s="68"/>
      <c r="D51" s="67">
        <v>42862</v>
      </c>
      <c r="E51" s="68">
        <v>120</v>
      </c>
      <c r="F51" s="67">
        <f t="shared" si="1"/>
        <v>42982</v>
      </c>
      <c r="G51" s="37">
        <v>20</v>
      </c>
      <c r="H51" s="66"/>
      <c r="I51" s="70">
        <f>Table4[[#This Row],[Qté plants/m²]]*Table4[[#This Row],[Surface (m²)]]</f>
        <v>0</v>
      </c>
      <c r="J51" s="37">
        <v>5</v>
      </c>
      <c r="K51" s="67" t="s">
        <v>32</v>
      </c>
      <c r="L51" s="37">
        <f>Table4[[#This Row],[Productivité/m²]]*Table4[[#This Row],[Surface (m²)]]</f>
        <v>100</v>
      </c>
    </row>
    <row r="52" spans="1:12">
      <c r="A52" s="19" t="s">
        <v>639</v>
      </c>
      <c r="B52" s="39">
        <f>Table4[[#This Row],[Date plantation]]-Table4[[#This Row],[Tps motte]]</f>
        <v>42866</v>
      </c>
      <c r="C52" s="38">
        <v>19</v>
      </c>
      <c r="D52" s="39">
        <v>42885</v>
      </c>
      <c r="E52" s="38">
        <v>75</v>
      </c>
      <c r="F52" s="39">
        <f t="shared" si="1"/>
        <v>42941</v>
      </c>
      <c r="G52" s="37">
        <v>10</v>
      </c>
      <c r="H52" s="37">
        <v>12</v>
      </c>
      <c r="I52" s="69">
        <f>Table4[[#This Row],[Qté plants/m²]]*Table4[[#This Row],[Surface (m²)]]</f>
        <v>120</v>
      </c>
      <c r="J52" s="37">
        <v>8</v>
      </c>
      <c r="K52" s="4" t="s">
        <v>552</v>
      </c>
      <c r="L52" s="37">
        <f>Table4[[#This Row],[Productivité/m²]]*Table4[[#This Row],[Surface (m²)]]</f>
        <v>80</v>
      </c>
    </row>
    <row r="53" spans="1:12">
      <c r="A53" s="19" t="s">
        <v>822</v>
      </c>
      <c r="B53" s="39">
        <f>Table4[[#This Row],[Date plantation]]-Table4[[#This Row],[Tps motte]]</f>
        <v>42867</v>
      </c>
      <c r="C53" s="38">
        <v>20</v>
      </c>
      <c r="D53" s="39">
        <v>42887</v>
      </c>
      <c r="E53" s="38">
        <v>90</v>
      </c>
      <c r="F53" s="4">
        <f t="shared" si="1"/>
        <v>42957</v>
      </c>
      <c r="G53" s="37">
        <v>30</v>
      </c>
      <c r="H53" s="37">
        <v>2</v>
      </c>
      <c r="I53" s="69">
        <f>Table4[[#This Row],[Qté plants/m²]]*Table4[[#This Row],[Surface (m²)]]</f>
        <v>60</v>
      </c>
      <c r="J53" s="37">
        <v>2</v>
      </c>
      <c r="K53" s="4" t="s">
        <v>33</v>
      </c>
      <c r="L53" s="37">
        <f>Table4[[#This Row],[Productivité/m²]]*Table4[[#This Row],[Surface (m²)]]</f>
        <v>60</v>
      </c>
    </row>
    <row r="54" spans="1:12">
      <c r="A54" s="19" t="s">
        <v>575</v>
      </c>
      <c r="B54" s="39">
        <f>Table4[[#This Row],[Date plantation]]-Table4[[#This Row],[Tps motte]]</f>
        <v>42869</v>
      </c>
      <c r="C54" s="3">
        <v>18</v>
      </c>
      <c r="D54" s="39">
        <v>42887</v>
      </c>
      <c r="E54" s="3">
        <v>90</v>
      </c>
      <c r="F54" s="4">
        <f t="shared" si="1"/>
        <v>42959</v>
      </c>
      <c r="G54" s="37">
        <v>20</v>
      </c>
      <c r="H54" s="37">
        <v>2</v>
      </c>
      <c r="I54" s="69">
        <f>Table4[[#This Row],[Qté plants/m²]]*Table4[[#This Row],[Surface (m²)]]</f>
        <v>40</v>
      </c>
      <c r="J54" s="37">
        <v>5</v>
      </c>
      <c r="K54" s="4" t="s">
        <v>33</v>
      </c>
      <c r="L54" s="37">
        <f>Table4[[#This Row],[Productivité/m²]]*Table4[[#This Row],[Surface (m²)]]</f>
        <v>100</v>
      </c>
    </row>
    <row r="55" spans="1:12">
      <c r="A55" s="19" t="s">
        <v>613</v>
      </c>
      <c r="B55" s="39">
        <f>Table4[[#This Row],[Date plantation]]-Table4[[#This Row],[Tps motte]]</f>
        <v>42870</v>
      </c>
      <c r="C55" s="38"/>
      <c r="D55" s="39">
        <v>42870</v>
      </c>
      <c r="E55" s="38">
        <v>60</v>
      </c>
      <c r="F55" s="39">
        <f t="shared" si="1"/>
        <v>42930</v>
      </c>
      <c r="G55" s="37">
        <v>40</v>
      </c>
      <c r="H55" s="37"/>
      <c r="I55" s="69">
        <f>Table4[[#This Row],[Qté plants/m²]]*Table4[[#This Row],[Surface (m²)]]</f>
        <v>0</v>
      </c>
      <c r="J55" s="37">
        <v>1</v>
      </c>
      <c r="K55" s="4" t="s">
        <v>33</v>
      </c>
      <c r="L55" s="37">
        <f>Table4[[#This Row],[Productivité/m²]]*Table4[[#This Row],[Surface (m²)]]</f>
        <v>40</v>
      </c>
    </row>
    <row r="56" spans="1:12">
      <c r="A56" s="65" t="s">
        <v>669</v>
      </c>
      <c r="B56" s="67">
        <f>Table4[[#This Row],[Date plantation]]-Table4[[#This Row],[Tps motte]]</f>
        <v>42872</v>
      </c>
      <c r="C56" s="68">
        <v>15</v>
      </c>
      <c r="D56" s="67">
        <v>42887</v>
      </c>
      <c r="E56" s="68">
        <v>50</v>
      </c>
      <c r="F56" s="67">
        <f t="shared" si="1"/>
        <v>42922</v>
      </c>
      <c r="G56" s="37">
        <v>10</v>
      </c>
      <c r="H56" s="66">
        <v>80</v>
      </c>
      <c r="I56" s="70">
        <f>Table4[[#This Row],[Qté plants/m²]]*Table4[[#This Row],[Surface (m²)]]</f>
        <v>800</v>
      </c>
      <c r="J56" s="37">
        <v>2</v>
      </c>
      <c r="K56" s="67" t="s">
        <v>33</v>
      </c>
      <c r="L56" s="37">
        <f>Table4[[#This Row],[Productivité/m²]]*Table4[[#This Row],[Surface (m²)]]</f>
        <v>20</v>
      </c>
    </row>
    <row r="57" spans="1:12">
      <c r="A57" s="19" t="s">
        <v>700</v>
      </c>
      <c r="B57" s="39">
        <f>Table4[[#This Row],[Date plantation]]-Table4[[#This Row],[Tps motte]]</f>
        <v>42872</v>
      </c>
      <c r="C57" s="38">
        <v>15</v>
      </c>
      <c r="D57" s="39">
        <v>42887</v>
      </c>
      <c r="E57" s="38">
        <v>70</v>
      </c>
      <c r="F57" s="4">
        <f t="shared" si="1"/>
        <v>42942</v>
      </c>
      <c r="G57" s="37">
        <v>20</v>
      </c>
      <c r="H57" s="37">
        <v>2</v>
      </c>
      <c r="I57" s="69">
        <f>Table4[[#This Row],[Qté plants/m²]]*Table4[[#This Row],[Surface (m²)]]</f>
        <v>40</v>
      </c>
      <c r="J57" s="37">
        <v>2</v>
      </c>
      <c r="K57" s="4" t="s">
        <v>33</v>
      </c>
      <c r="L57" s="37">
        <f>Table4[[#This Row],[Productivité/m²]]*Table4[[#This Row],[Surface (m²)]]</f>
        <v>40</v>
      </c>
    </row>
    <row r="58" spans="1:12">
      <c r="A58" s="19" t="s">
        <v>642</v>
      </c>
      <c r="B58" s="39">
        <f>Table4[[#This Row],[Date plantation]]-Table4[[#This Row],[Tps motte]]</f>
        <v>42876</v>
      </c>
      <c r="C58" s="38">
        <v>19</v>
      </c>
      <c r="D58" s="39">
        <v>42895</v>
      </c>
      <c r="E58" s="38">
        <v>75</v>
      </c>
      <c r="F58" s="39">
        <f t="shared" si="1"/>
        <v>42951</v>
      </c>
      <c r="G58" s="37">
        <v>10</v>
      </c>
      <c r="H58" s="37">
        <v>12</v>
      </c>
      <c r="I58" s="69">
        <f>Table4[[#This Row],[Qté plants/m²]]*Table4[[#This Row],[Surface (m²)]]</f>
        <v>120</v>
      </c>
      <c r="J58" s="37">
        <v>8</v>
      </c>
      <c r="K58" s="4" t="s">
        <v>552</v>
      </c>
      <c r="L58" s="37">
        <f>Table4[[#This Row],[Productivité/m²]]*Table4[[#This Row],[Surface (m²)]]</f>
        <v>80</v>
      </c>
    </row>
    <row r="59" spans="1:12">
      <c r="A59" s="19" t="s">
        <v>672</v>
      </c>
      <c r="B59" s="39">
        <f>Table4[[#This Row],[Date plantation]]-Table4[[#This Row],[Tps motte]]</f>
        <v>42876</v>
      </c>
      <c r="C59" s="38">
        <v>29</v>
      </c>
      <c r="D59" s="39">
        <v>42905</v>
      </c>
      <c r="E59" s="38">
        <v>70</v>
      </c>
      <c r="F59" s="39">
        <f t="shared" si="1"/>
        <v>42946</v>
      </c>
      <c r="G59" s="37">
        <v>10</v>
      </c>
      <c r="H59" s="37">
        <v>16</v>
      </c>
      <c r="I59" s="69">
        <f>Table4[[#This Row],[Qté plants/m²]]*Table4[[#This Row],[Surface (m²)]]</f>
        <v>160</v>
      </c>
      <c r="J59" s="37">
        <v>10</v>
      </c>
      <c r="K59" s="4" t="s">
        <v>562</v>
      </c>
      <c r="L59" s="37">
        <f>Table4[[#This Row],[Productivité/m²]]*Table4[[#This Row],[Surface (m²)]]</f>
        <v>100</v>
      </c>
    </row>
    <row r="60" spans="1:12">
      <c r="A60" s="19" t="s">
        <v>644</v>
      </c>
      <c r="B60" s="39">
        <f>Table4[[#This Row],[Date plantation]]-Table4[[#This Row],[Tps motte]]</f>
        <v>42887</v>
      </c>
      <c r="C60" s="38"/>
      <c r="D60" s="39">
        <v>42887</v>
      </c>
      <c r="E60" s="38">
        <v>60</v>
      </c>
      <c r="F60" s="39">
        <f t="shared" si="1"/>
        <v>42947</v>
      </c>
      <c r="G60" s="37">
        <v>40</v>
      </c>
      <c r="H60" s="37"/>
      <c r="I60" s="69">
        <f>Table4[[#This Row],[Qté plants/m²]]*Table4[[#This Row],[Surface (m²)]]</f>
        <v>0</v>
      </c>
      <c r="J60" s="37">
        <v>1</v>
      </c>
      <c r="K60" s="4" t="s">
        <v>33</v>
      </c>
      <c r="L60" s="37">
        <f>Table4[[#This Row],[Productivité/m²]]*Table4[[#This Row],[Surface (m²)]]</f>
        <v>40</v>
      </c>
    </row>
    <row r="61" spans="1:12">
      <c r="A61" s="65" t="s">
        <v>629</v>
      </c>
      <c r="B61" s="67">
        <f>Table4[[#This Row],[Date plantation]]-Table4[[#This Row],[Tps motte]]</f>
        <v>42891</v>
      </c>
      <c r="C61" s="68"/>
      <c r="D61" s="67">
        <v>42891</v>
      </c>
      <c r="E61" s="68">
        <v>120</v>
      </c>
      <c r="F61" s="67">
        <f t="shared" si="1"/>
        <v>43011</v>
      </c>
      <c r="G61" s="37">
        <v>20</v>
      </c>
      <c r="H61" s="66"/>
      <c r="I61" s="70">
        <f>Table4[[#This Row],[Qté plants/m²]]*Table4[[#This Row],[Surface (m²)]]</f>
        <v>0</v>
      </c>
      <c r="J61" s="37">
        <v>5</v>
      </c>
      <c r="K61" s="67" t="s">
        <v>32</v>
      </c>
      <c r="L61" s="37">
        <f>Table4[[#This Row],[Productivité/m²]]*Table4[[#This Row],[Surface (m²)]]</f>
        <v>100</v>
      </c>
    </row>
    <row r="62" spans="1:12">
      <c r="A62" s="19" t="s">
        <v>643</v>
      </c>
      <c r="B62" s="39">
        <f>Table4[[#This Row],[Date plantation]]-Table4[[#This Row],[Tps motte]]</f>
        <v>42894</v>
      </c>
      <c r="C62" s="38">
        <v>19</v>
      </c>
      <c r="D62" s="39">
        <v>42913</v>
      </c>
      <c r="E62" s="38">
        <v>75</v>
      </c>
      <c r="F62" s="39">
        <f t="shared" si="1"/>
        <v>42969</v>
      </c>
      <c r="G62" s="37">
        <v>10</v>
      </c>
      <c r="H62" s="37">
        <v>12</v>
      </c>
      <c r="I62" s="69">
        <f>Table4[[#This Row],[Qté plants/m²]]*Table4[[#This Row],[Surface (m²)]]</f>
        <v>120</v>
      </c>
      <c r="J62" s="37">
        <v>8</v>
      </c>
      <c r="K62" s="4" t="s">
        <v>552</v>
      </c>
      <c r="L62" s="37">
        <f>Table4[[#This Row],[Productivité/m²]]*Table4[[#This Row],[Surface (m²)]]</f>
        <v>80</v>
      </c>
    </row>
    <row r="63" spans="1:12">
      <c r="A63" s="19" t="s">
        <v>656</v>
      </c>
      <c r="B63" s="39">
        <f>Table4[[#This Row],[Date plantation]]-Table4[[#This Row],[Tps motte]]</f>
        <v>42895</v>
      </c>
      <c r="C63" s="38"/>
      <c r="D63" s="39">
        <v>42895</v>
      </c>
      <c r="E63" s="38">
        <v>90</v>
      </c>
      <c r="F63" s="39">
        <f t="shared" si="1"/>
        <v>42985</v>
      </c>
      <c r="G63" s="37">
        <v>20</v>
      </c>
      <c r="H63" s="37">
        <v>15</v>
      </c>
      <c r="I63" s="69">
        <f>Table4[[#This Row],[Qté plants/m²]]*Table4[[#This Row],[Surface (m²)]]</f>
        <v>300</v>
      </c>
      <c r="J63" s="37">
        <v>10</v>
      </c>
      <c r="K63" s="4" t="s">
        <v>552</v>
      </c>
      <c r="L63" s="37">
        <f>Table4[[#This Row],[Productivité/m²]]*Table4[[#This Row],[Surface (m²)]]</f>
        <v>200</v>
      </c>
    </row>
    <row r="64" spans="1:12">
      <c r="A64" s="19" t="s">
        <v>576</v>
      </c>
      <c r="B64" s="39">
        <f>Table4[[#This Row],[Date plantation]]-Table4[[#This Row],[Tps motte]]</f>
        <v>42896</v>
      </c>
      <c r="C64" s="3">
        <v>19</v>
      </c>
      <c r="D64" s="39">
        <v>42915</v>
      </c>
      <c r="E64" s="3">
        <v>90</v>
      </c>
      <c r="F64" s="4">
        <f t="shared" si="1"/>
        <v>42986</v>
      </c>
      <c r="G64" s="37">
        <v>20</v>
      </c>
      <c r="H64" s="37">
        <v>2</v>
      </c>
      <c r="I64" s="69">
        <f>Table4[[#This Row],[Qté plants/m²]]*Table4[[#This Row],[Surface (m²)]]</f>
        <v>40</v>
      </c>
      <c r="J64" s="37">
        <v>5</v>
      </c>
      <c r="K64" s="4" t="s">
        <v>33</v>
      </c>
      <c r="L64" s="37">
        <f>Table4[[#This Row],[Productivité/m²]]*Table4[[#This Row],[Surface (m²)]]</f>
        <v>100</v>
      </c>
    </row>
    <row r="65" spans="1:12">
      <c r="A65" s="19" t="s">
        <v>645</v>
      </c>
      <c r="B65" s="39">
        <f>Table4[[#This Row],[Date plantation]]-Table4[[#This Row],[Tps motte]]</f>
        <v>42898</v>
      </c>
      <c r="C65" s="38"/>
      <c r="D65" s="39">
        <v>42898</v>
      </c>
      <c r="E65" s="38">
        <v>60</v>
      </c>
      <c r="F65" s="39">
        <f t="shared" si="1"/>
        <v>42958</v>
      </c>
      <c r="G65" s="37">
        <v>40</v>
      </c>
      <c r="H65" s="37"/>
      <c r="I65" s="69">
        <f>Table4[[#This Row],[Qté plants/m²]]*Table4[[#This Row],[Surface (m²)]]</f>
        <v>0</v>
      </c>
      <c r="J65" s="37">
        <v>1</v>
      </c>
      <c r="K65" s="4" t="s">
        <v>33</v>
      </c>
      <c r="L65" s="37">
        <f>Table4[[#This Row],[Productivité/m²]]*Table4[[#This Row],[Surface (m²)]]</f>
        <v>40</v>
      </c>
    </row>
    <row r="66" spans="1:12">
      <c r="A66" s="19" t="s">
        <v>652</v>
      </c>
      <c r="B66" s="39">
        <f>Table4[[#This Row],[Date plantation]]-Table4[[#This Row],[Tps motte]]</f>
        <v>42903</v>
      </c>
      <c r="C66" s="38">
        <v>19</v>
      </c>
      <c r="D66" s="39">
        <v>42922</v>
      </c>
      <c r="E66" s="38">
        <v>80</v>
      </c>
      <c r="F66" s="39">
        <f t="shared" ref="F66:F96" si="2">B66+E66</f>
        <v>42983</v>
      </c>
      <c r="G66" s="37">
        <v>10</v>
      </c>
      <c r="H66" s="37">
        <v>12</v>
      </c>
      <c r="I66" s="69">
        <f>Table4[[#This Row],[Qté plants/m²]]*Table4[[#This Row],[Surface (m²)]]</f>
        <v>120</v>
      </c>
      <c r="J66" s="37">
        <v>8</v>
      </c>
      <c r="K66" s="4" t="s">
        <v>552</v>
      </c>
      <c r="L66" s="37">
        <f>Table4[[#This Row],[Productivité/m²]]*Table4[[#This Row],[Surface (m²)]]</f>
        <v>80</v>
      </c>
    </row>
    <row r="67" spans="1:12">
      <c r="A67" s="65" t="s">
        <v>670</v>
      </c>
      <c r="B67" s="67">
        <f>Table4[[#This Row],[Date plantation]]-Table4[[#This Row],[Tps motte]]</f>
        <v>42904</v>
      </c>
      <c r="C67" s="68">
        <v>17</v>
      </c>
      <c r="D67" s="67">
        <v>42921</v>
      </c>
      <c r="E67" s="68">
        <v>50</v>
      </c>
      <c r="F67" s="67">
        <f t="shared" si="2"/>
        <v>42954</v>
      </c>
      <c r="G67" s="37">
        <v>10</v>
      </c>
      <c r="H67" s="66">
        <v>80</v>
      </c>
      <c r="I67" s="70">
        <f>Table4[[#This Row],[Qté plants/m²]]*Table4[[#This Row],[Surface (m²)]]</f>
        <v>800</v>
      </c>
      <c r="J67" s="37">
        <v>2</v>
      </c>
      <c r="K67" s="67" t="s">
        <v>33</v>
      </c>
      <c r="L67" s="37">
        <f>Table4[[#This Row],[Productivité/m²]]*Table4[[#This Row],[Surface (m²)]]</f>
        <v>20</v>
      </c>
    </row>
    <row r="68" spans="1:12">
      <c r="A68" s="19" t="s">
        <v>659</v>
      </c>
      <c r="B68" s="67">
        <f>Table4[[#This Row],[Date plantation]]-Table4[[#This Row],[Tps motte]]</f>
        <v>42908</v>
      </c>
      <c r="C68" s="68"/>
      <c r="D68" s="67">
        <v>42908</v>
      </c>
      <c r="E68" s="68">
        <v>80</v>
      </c>
      <c r="F68" s="67">
        <f t="shared" si="2"/>
        <v>42988</v>
      </c>
      <c r="G68" s="37">
        <v>20</v>
      </c>
      <c r="H68" s="37">
        <v>50</v>
      </c>
      <c r="I68" s="69">
        <f>Table4[[#This Row],[Qté plants/m²]]*Table4[[#This Row],[Surface (m²)]]</f>
        <v>1000</v>
      </c>
      <c r="J68" s="37">
        <v>4</v>
      </c>
      <c r="K68" s="4" t="s">
        <v>32</v>
      </c>
      <c r="L68" s="37">
        <f>Table4[[#This Row],[Productivité/m²]]*Table4[[#This Row],[Surface (m²)]]</f>
        <v>80</v>
      </c>
    </row>
    <row r="69" spans="1:12">
      <c r="A69" s="19" t="s">
        <v>646</v>
      </c>
      <c r="B69" s="39">
        <f>Table4[[#This Row],[Date plantation]]-Table4[[#This Row],[Tps motte]]</f>
        <v>42914</v>
      </c>
      <c r="C69" s="38"/>
      <c r="D69" s="39">
        <v>42914</v>
      </c>
      <c r="E69" s="38">
        <v>60</v>
      </c>
      <c r="F69" s="39">
        <f t="shared" si="2"/>
        <v>42974</v>
      </c>
      <c r="G69" s="37">
        <v>40</v>
      </c>
      <c r="H69" s="37"/>
      <c r="I69" s="69">
        <f>Table4[[#This Row],[Qté plants/m²]]*Table4[[#This Row],[Surface (m²)]]</f>
        <v>0</v>
      </c>
      <c r="J69" s="37">
        <v>1</v>
      </c>
      <c r="K69" s="4" t="s">
        <v>33</v>
      </c>
      <c r="L69" s="37">
        <f>Table4[[#This Row],[Productivité/m²]]*Table4[[#This Row],[Surface (m²)]]</f>
        <v>40</v>
      </c>
    </row>
    <row r="70" spans="1:12">
      <c r="A70" s="19" t="s">
        <v>674</v>
      </c>
      <c r="B70" s="39">
        <f>Table4[[#This Row],[Date plantation]]-Table4[[#This Row],[Tps motte]]</f>
        <v>42918</v>
      </c>
      <c r="C70" s="38">
        <v>25</v>
      </c>
      <c r="D70" s="39">
        <v>42943</v>
      </c>
      <c r="E70" s="38">
        <v>70</v>
      </c>
      <c r="F70" s="39">
        <f t="shared" si="2"/>
        <v>42988</v>
      </c>
      <c r="G70" s="37">
        <v>20</v>
      </c>
      <c r="H70" s="37">
        <v>8</v>
      </c>
      <c r="I70" s="69">
        <f>Table4[[#This Row],[Qté plants/m²]]*Table4[[#This Row],[Surface (m²)]]</f>
        <v>160</v>
      </c>
      <c r="J70" s="37">
        <v>5</v>
      </c>
      <c r="K70" s="4" t="s">
        <v>562</v>
      </c>
      <c r="L70" s="37">
        <f>Table4[[#This Row],[Productivité/m²]]*Table4[[#This Row],[Surface (m²)]]</f>
        <v>100</v>
      </c>
    </row>
    <row r="71" spans="1:12">
      <c r="A71" s="65" t="s">
        <v>624</v>
      </c>
      <c r="B71" s="67">
        <f>Table4[[#This Row],[Date plantation]]-Table4[[#This Row],[Tps motte]]</f>
        <v>42919</v>
      </c>
      <c r="C71" s="68"/>
      <c r="D71" s="67">
        <v>42919</v>
      </c>
      <c r="E71" s="68">
        <v>90</v>
      </c>
      <c r="F71" s="67">
        <f t="shared" si="2"/>
        <v>43009</v>
      </c>
      <c r="G71" s="37">
        <v>80</v>
      </c>
      <c r="H71" s="37">
        <v>15</v>
      </c>
      <c r="I71" s="69">
        <f>Table4[[#This Row],[Qté plants/m²]]*Table4[[#This Row],[Surface (m²)]]</f>
        <v>1200</v>
      </c>
      <c r="J71" s="37">
        <v>2</v>
      </c>
      <c r="K71" s="4" t="s">
        <v>33</v>
      </c>
      <c r="L71" s="37">
        <f>Table4[[#This Row],[Productivité/m²]]*Table4[[#This Row],[Surface (m²)]]</f>
        <v>160</v>
      </c>
    </row>
    <row r="72" spans="1:12">
      <c r="A72" s="19" t="s">
        <v>653</v>
      </c>
      <c r="B72" s="39">
        <f>Table4[[#This Row],[Date plantation]]-Table4[[#This Row],[Tps motte]]</f>
        <v>42921</v>
      </c>
      <c r="C72" s="38">
        <v>19</v>
      </c>
      <c r="D72" s="39">
        <v>42940</v>
      </c>
      <c r="E72" s="38">
        <v>80</v>
      </c>
      <c r="F72" s="39">
        <f t="shared" si="2"/>
        <v>43001</v>
      </c>
      <c r="G72" s="37">
        <v>10</v>
      </c>
      <c r="H72" s="37">
        <v>12</v>
      </c>
      <c r="I72" s="69">
        <f>Table4[[#This Row],[Qté plants/m²]]*Table4[[#This Row],[Surface (m²)]]</f>
        <v>120</v>
      </c>
      <c r="J72" s="37">
        <v>8</v>
      </c>
      <c r="K72" s="4" t="s">
        <v>552</v>
      </c>
      <c r="L72" s="37">
        <f>Table4[[#This Row],[Productivité/m²]]*Table4[[#This Row],[Surface (m²)]]</f>
        <v>80</v>
      </c>
    </row>
    <row r="73" spans="1:12">
      <c r="A73" s="19" t="s">
        <v>693</v>
      </c>
      <c r="B73" s="39">
        <f>Table4[[#This Row],[Date plantation]]-Table4[[#This Row],[Tps motte]]</f>
        <v>42922</v>
      </c>
      <c r="C73" s="3">
        <v>27</v>
      </c>
      <c r="D73" s="39">
        <v>42949</v>
      </c>
      <c r="E73" s="3">
        <v>90</v>
      </c>
      <c r="F73" s="4">
        <f t="shared" si="2"/>
        <v>43012</v>
      </c>
      <c r="G73" s="37">
        <v>20</v>
      </c>
      <c r="H73" s="37">
        <v>12</v>
      </c>
      <c r="I73" s="69">
        <f>Table4[[#This Row],[Qté plants/m²]]*Table4[[#This Row],[Surface (m²)]]</f>
        <v>240</v>
      </c>
      <c r="J73" s="37">
        <v>8</v>
      </c>
      <c r="K73" s="4" t="s">
        <v>552</v>
      </c>
      <c r="L73" s="37">
        <f>Table4[[#This Row],[Productivité/m²]]*Table4[[#This Row],[Surface (m²)]]</f>
        <v>160</v>
      </c>
    </row>
    <row r="74" spans="1:12">
      <c r="A74" s="19" t="s">
        <v>694</v>
      </c>
      <c r="B74" s="39">
        <f>Table4[[#This Row],[Date plantation]]-Table4[[#This Row],[Tps motte]]</f>
        <v>42922</v>
      </c>
      <c r="C74" s="3">
        <v>27</v>
      </c>
      <c r="D74" s="39">
        <v>42949</v>
      </c>
      <c r="E74" s="3">
        <v>110</v>
      </c>
      <c r="F74" s="4">
        <f t="shared" si="2"/>
        <v>43032</v>
      </c>
      <c r="G74" s="37">
        <v>20</v>
      </c>
      <c r="H74" s="37">
        <v>9</v>
      </c>
      <c r="I74" s="69">
        <f>Table4[[#This Row],[Qté plants/m²]]*Table4[[#This Row],[Surface (m²)]]</f>
        <v>180</v>
      </c>
      <c r="J74" s="37">
        <v>5</v>
      </c>
      <c r="K74" s="4" t="s">
        <v>552</v>
      </c>
      <c r="L74" s="37">
        <f>Table4[[#This Row],[Productivité/m²]]*Table4[[#This Row],[Surface (m²)]]</f>
        <v>100</v>
      </c>
    </row>
    <row r="75" spans="1:12">
      <c r="A75" s="19" t="s">
        <v>676</v>
      </c>
      <c r="B75" s="39">
        <f>Table4[[#This Row],[Date plantation]]-Table4[[#This Row],[Tps motte]]</f>
        <v>42923</v>
      </c>
      <c r="C75" s="38">
        <v>20</v>
      </c>
      <c r="D75" s="39">
        <v>42943</v>
      </c>
      <c r="E75" s="38">
        <v>110</v>
      </c>
      <c r="F75" s="39">
        <f t="shared" si="2"/>
        <v>43033</v>
      </c>
      <c r="G75" s="37">
        <v>20</v>
      </c>
      <c r="H75" s="37">
        <v>12</v>
      </c>
      <c r="I75" s="69">
        <f>Table4[[#This Row],[Qté plants/m²]]*Table4[[#This Row],[Surface (m²)]]</f>
        <v>240</v>
      </c>
      <c r="J75" s="37">
        <v>10</v>
      </c>
      <c r="K75" s="4" t="s">
        <v>552</v>
      </c>
      <c r="L75" s="37">
        <f>Table4[[#This Row],[Productivité/m²]]*Table4[[#This Row],[Surface (m²)]]</f>
        <v>200</v>
      </c>
    </row>
    <row r="76" spans="1:12">
      <c r="A76" s="19" t="s">
        <v>675</v>
      </c>
      <c r="B76" s="39">
        <f>Table4[[#This Row],[Date plantation]]-Table4[[#This Row],[Tps motte]]</f>
        <v>42928</v>
      </c>
      <c r="C76" s="38">
        <v>19</v>
      </c>
      <c r="D76" s="39">
        <v>42947</v>
      </c>
      <c r="E76" s="38">
        <v>110</v>
      </c>
      <c r="F76" s="39">
        <f t="shared" si="2"/>
        <v>43038</v>
      </c>
      <c r="G76" s="37">
        <v>20</v>
      </c>
      <c r="H76" s="37">
        <v>15</v>
      </c>
      <c r="I76" s="69">
        <f>Table4[[#This Row],[Qté plants/m²]]*Table4[[#This Row],[Surface (m²)]]</f>
        <v>300</v>
      </c>
      <c r="J76" s="37">
        <v>2</v>
      </c>
      <c r="K76" s="4" t="s">
        <v>33</v>
      </c>
      <c r="L76" s="37">
        <f>Table4[[#This Row],[Productivité/m²]]*Table4[[#This Row],[Surface (m²)]]</f>
        <v>40</v>
      </c>
    </row>
    <row r="77" spans="1:12">
      <c r="A77" s="19" t="s">
        <v>681</v>
      </c>
      <c r="B77" s="39">
        <f>Table4[[#This Row],[Date plantation]]-Table4[[#This Row],[Tps motte]]</f>
        <v>42931</v>
      </c>
      <c r="C77" s="38">
        <v>18</v>
      </c>
      <c r="D77" s="39">
        <v>42949</v>
      </c>
      <c r="E77" s="38">
        <v>90</v>
      </c>
      <c r="F77" s="39">
        <f t="shared" si="2"/>
        <v>43021</v>
      </c>
      <c r="G77" s="37">
        <v>20</v>
      </c>
      <c r="H77" s="37">
        <v>9</v>
      </c>
      <c r="I77" s="69">
        <f>Table4[[#This Row],[Qté plants/m²]]*Table4[[#This Row],[Surface (m²)]]</f>
        <v>180</v>
      </c>
      <c r="J77" s="37">
        <v>5</v>
      </c>
      <c r="K77" s="4" t="s">
        <v>33</v>
      </c>
      <c r="L77" s="37">
        <f>Table4[[#This Row],[Productivité/m²]]*Table4[[#This Row],[Surface (m²)]]</f>
        <v>100</v>
      </c>
    </row>
    <row r="78" spans="1:12">
      <c r="A78" s="19" t="s">
        <v>682</v>
      </c>
      <c r="B78" s="39">
        <f>Table4[[#This Row],[Date plantation]]-Table4[[#This Row],[Tps motte]]</f>
        <v>42931</v>
      </c>
      <c r="C78" s="38">
        <v>18</v>
      </c>
      <c r="D78" s="39">
        <v>42949</v>
      </c>
      <c r="E78" s="38">
        <v>90</v>
      </c>
      <c r="F78" s="39">
        <f t="shared" si="2"/>
        <v>43021</v>
      </c>
      <c r="G78" s="37">
        <v>10</v>
      </c>
      <c r="H78" s="37">
        <v>9</v>
      </c>
      <c r="I78" s="69">
        <f>Table4[[#This Row],[Qté plants/m²]]*Table4[[#This Row],[Surface (m²)]]</f>
        <v>90</v>
      </c>
      <c r="J78" s="37">
        <v>5</v>
      </c>
      <c r="K78" s="4" t="s">
        <v>33</v>
      </c>
      <c r="L78" s="37">
        <f>Table4[[#This Row],[Productivité/m²]]*Table4[[#This Row],[Surface (m²)]]</f>
        <v>50</v>
      </c>
    </row>
    <row r="79" spans="1:12">
      <c r="A79" s="19" t="s">
        <v>176</v>
      </c>
      <c r="B79" s="39">
        <f>Table4[[#This Row],[Date plantation]]-Table4[[#This Row],[Tps motte]]</f>
        <v>42931</v>
      </c>
      <c r="C79" s="38">
        <v>18</v>
      </c>
      <c r="D79" s="39">
        <v>42949</v>
      </c>
      <c r="E79" s="38">
        <v>90</v>
      </c>
      <c r="F79" s="39">
        <f t="shared" si="2"/>
        <v>43021</v>
      </c>
      <c r="G79" s="37">
        <v>30</v>
      </c>
      <c r="H79" s="37">
        <v>9</v>
      </c>
      <c r="I79" s="69">
        <f>Table4[[#This Row],[Qté plants/m²]]*Table4[[#This Row],[Surface (m²)]]</f>
        <v>270</v>
      </c>
      <c r="J79" s="37">
        <v>5</v>
      </c>
      <c r="K79" s="4" t="s">
        <v>33</v>
      </c>
      <c r="L79" s="37">
        <f>Table4[[#This Row],[Productivité/m²]]*Table4[[#This Row],[Surface (m²)]]</f>
        <v>150</v>
      </c>
    </row>
    <row r="80" spans="1:12">
      <c r="A80" s="19" t="s">
        <v>654</v>
      </c>
      <c r="B80" s="39">
        <f>Table4[[#This Row],[Date plantation]]-Table4[[#This Row],[Tps motte]]</f>
        <v>42931</v>
      </c>
      <c r="C80" s="38">
        <v>19</v>
      </c>
      <c r="D80" s="39">
        <v>42950</v>
      </c>
      <c r="E80" s="38">
        <v>80</v>
      </c>
      <c r="F80" s="39">
        <f t="shared" si="2"/>
        <v>43011</v>
      </c>
      <c r="G80" s="37">
        <v>10</v>
      </c>
      <c r="H80" s="37">
        <v>12</v>
      </c>
      <c r="I80" s="69">
        <f>Table4[[#This Row],[Qté plants/m²]]*Table4[[#This Row],[Surface (m²)]]</f>
        <v>120</v>
      </c>
      <c r="J80" s="37">
        <v>8</v>
      </c>
      <c r="K80" s="4" t="s">
        <v>552</v>
      </c>
      <c r="L80" s="37">
        <f>Table4[[#This Row],[Productivité/m²]]*Table4[[#This Row],[Surface (m²)]]</f>
        <v>80</v>
      </c>
    </row>
    <row r="81" spans="1:12">
      <c r="A81" s="65" t="s">
        <v>683</v>
      </c>
      <c r="B81" s="67">
        <f>Table4[[#This Row],[Date plantation]]-Table4[[#This Row],[Tps motte]]</f>
        <v>42932</v>
      </c>
      <c r="C81" s="68">
        <v>18</v>
      </c>
      <c r="D81" s="67">
        <v>42950</v>
      </c>
      <c r="E81" s="68">
        <v>50</v>
      </c>
      <c r="F81" s="67">
        <f t="shared" si="2"/>
        <v>42982</v>
      </c>
      <c r="G81" s="37">
        <v>10</v>
      </c>
      <c r="H81" s="66">
        <v>80</v>
      </c>
      <c r="I81" s="70">
        <f>Table4[[#This Row],[Qté plants/m²]]*Table4[[#This Row],[Surface (m²)]]</f>
        <v>800</v>
      </c>
      <c r="J81" s="37">
        <v>2</v>
      </c>
      <c r="K81" s="67" t="s">
        <v>33</v>
      </c>
      <c r="L81" s="37">
        <f>Table4[[#This Row],[Productivité/m²]]*Table4[[#This Row],[Surface (m²)]]</f>
        <v>20</v>
      </c>
    </row>
    <row r="82" spans="1:12">
      <c r="A82" s="19" t="s">
        <v>666</v>
      </c>
      <c r="B82" s="39">
        <f>Table4[[#This Row],[Date plantation]]-Table4[[#This Row],[Tps motte]]</f>
        <v>42933</v>
      </c>
      <c r="C82" s="38">
        <v>15</v>
      </c>
      <c r="D82" s="39">
        <v>42948</v>
      </c>
      <c r="E82" s="38">
        <v>90</v>
      </c>
      <c r="F82" s="39">
        <f t="shared" si="2"/>
        <v>43023</v>
      </c>
      <c r="G82" s="37">
        <v>40</v>
      </c>
      <c r="H82" s="37">
        <v>16</v>
      </c>
      <c r="I82" s="69">
        <f>Table4[[#This Row],[Qté plants/m²]]*Table4[[#This Row],[Surface (m²)]]</f>
        <v>640</v>
      </c>
      <c r="J82" s="37">
        <v>3</v>
      </c>
      <c r="K82" s="4" t="s">
        <v>32</v>
      </c>
      <c r="L82" s="37">
        <f>Table4[[#This Row],[Productivité/m²]]*Table4[[#This Row],[Surface (m²)]]</f>
        <v>120</v>
      </c>
    </row>
    <row r="83" spans="1:12">
      <c r="A83" s="19" t="s">
        <v>655</v>
      </c>
      <c r="B83" s="39">
        <f>Table4[[#This Row],[Date plantation]]-Table4[[#This Row],[Tps motte]]</f>
        <v>42934</v>
      </c>
      <c r="C83" s="38"/>
      <c r="D83" s="39">
        <v>42934</v>
      </c>
      <c r="E83" s="38">
        <v>60</v>
      </c>
      <c r="F83" s="39">
        <f t="shared" si="2"/>
        <v>42994</v>
      </c>
      <c r="G83" s="37">
        <v>20</v>
      </c>
      <c r="H83" s="37"/>
      <c r="I83" s="69">
        <f>Table4[[#This Row],[Qté plants/m²]]*Table4[[#This Row],[Surface (m²)]]</f>
        <v>0</v>
      </c>
      <c r="J83" s="37">
        <v>1</v>
      </c>
      <c r="K83" s="4" t="s">
        <v>33</v>
      </c>
      <c r="L83" s="37">
        <f>Table4[[#This Row],[Productivité/m²]]*Table4[[#This Row],[Surface (m²)]]</f>
        <v>20</v>
      </c>
    </row>
    <row r="84" spans="1:12">
      <c r="A84" s="19" t="s">
        <v>663</v>
      </c>
      <c r="B84" s="67">
        <f>Table4[[#This Row],[Date plantation]]-Table4[[#This Row],[Tps motte]]</f>
        <v>42936</v>
      </c>
      <c r="C84" s="68"/>
      <c r="D84" s="67">
        <v>42936</v>
      </c>
      <c r="E84" s="68">
        <v>80</v>
      </c>
      <c r="F84" s="67">
        <f t="shared" si="2"/>
        <v>43016</v>
      </c>
      <c r="G84" s="37">
        <v>20</v>
      </c>
      <c r="H84" s="37">
        <v>50</v>
      </c>
      <c r="I84" s="69">
        <f>Table4[[#This Row],[Qté plants/m²]]*Table4[[#This Row],[Surface (m²)]]</f>
        <v>1000</v>
      </c>
      <c r="J84" s="37">
        <v>4</v>
      </c>
      <c r="K84" s="4" t="s">
        <v>32</v>
      </c>
      <c r="L84" s="37">
        <f>Table4[[#This Row],[Productivité/m²]]*Table4[[#This Row],[Surface (m²)]]</f>
        <v>80</v>
      </c>
    </row>
    <row r="85" spans="1:12">
      <c r="A85" s="19" t="s">
        <v>662</v>
      </c>
      <c r="B85" s="39">
        <f>Table4[[#This Row],[Date plantation]]-Table4[[#This Row],[Tps motte]]</f>
        <v>42943</v>
      </c>
      <c r="C85" s="3"/>
      <c r="D85" s="39">
        <v>42943</v>
      </c>
      <c r="E85" s="3">
        <v>60</v>
      </c>
      <c r="F85" s="4">
        <f t="shared" si="2"/>
        <v>43003</v>
      </c>
      <c r="G85" s="37">
        <v>20</v>
      </c>
      <c r="H85" s="37">
        <v>0</v>
      </c>
      <c r="I85" s="69">
        <f>Table4[[#This Row],[Qté plants/m²]]*Table4[[#This Row],[Surface (m²)]]</f>
        <v>0</v>
      </c>
      <c r="J85" s="37">
        <v>4</v>
      </c>
      <c r="K85" s="4" t="s">
        <v>32</v>
      </c>
      <c r="L85" s="37">
        <f>Table4[[#This Row],[Productivité/m²]]*Table4[[#This Row],[Surface (m²)]]</f>
        <v>80</v>
      </c>
    </row>
    <row r="86" spans="1:12">
      <c r="A86" s="19" t="s">
        <v>667</v>
      </c>
      <c r="B86" s="39">
        <f>Table4[[#This Row],[Date plantation]]-Table4[[#This Row],[Tps motte]]</f>
        <v>42948</v>
      </c>
      <c r="C86" s="38">
        <v>19</v>
      </c>
      <c r="D86" s="39">
        <v>42967</v>
      </c>
      <c r="E86" s="38">
        <v>85</v>
      </c>
      <c r="F86" s="39">
        <f t="shared" si="2"/>
        <v>43033</v>
      </c>
      <c r="G86" s="37">
        <v>10</v>
      </c>
      <c r="H86" s="37">
        <v>12</v>
      </c>
      <c r="I86" s="69">
        <f>Table4[[#This Row],[Qté plants/m²]]*Table4[[#This Row],[Surface (m²)]]</f>
        <v>120</v>
      </c>
      <c r="J86" s="37">
        <v>8</v>
      </c>
      <c r="K86" s="4" t="s">
        <v>552</v>
      </c>
      <c r="L86" s="37">
        <f>Table4[[#This Row],[Productivité/m²]]*Table4[[#This Row],[Surface (m²)]]</f>
        <v>80</v>
      </c>
    </row>
    <row r="87" spans="1:12">
      <c r="A87" s="19" t="s">
        <v>687</v>
      </c>
      <c r="B87" s="39">
        <f>Table4[[#This Row],[Date plantation]]-Table4[[#This Row],[Tps motte]]</f>
        <v>42955</v>
      </c>
      <c r="C87" s="3">
        <v>30</v>
      </c>
      <c r="D87" s="39">
        <v>42985</v>
      </c>
      <c r="E87" s="3">
        <v>80</v>
      </c>
      <c r="F87" s="4">
        <f t="shared" si="2"/>
        <v>43035</v>
      </c>
      <c r="G87" s="37">
        <v>20</v>
      </c>
      <c r="H87" s="37">
        <v>100</v>
      </c>
      <c r="I87" s="69">
        <f>Table4[[#This Row],[Qté plants/m²]]*Table4[[#This Row],[Surface (m²)]]</f>
        <v>2000</v>
      </c>
      <c r="J87" s="37">
        <v>1</v>
      </c>
      <c r="K87" s="4" t="s">
        <v>33</v>
      </c>
      <c r="L87" s="37">
        <f>Table4[[#This Row],[Productivité/m²]]*Table4[[#This Row],[Surface (m²)]]</f>
        <v>20</v>
      </c>
    </row>
    <row r="88" spans="1:12">
      <c r="A88" s="19" t="s">
        <v>689</v>
      </c>
      <c r="B88" s="39">
        <f>Table4[[#This Row],[Date plantation]]-Table4[[#This Row],[Tps motte]]</f>
        <v>42960</v>
      </c>
      <c r="C88" s="38">
        <v>18</v>
      </c>
      <c r="D88" s="39">
        <v>42978</v>
      </c>
      <c r="E88" s="38">
        <v>75</v>
      </c>
      <c r="F88" s="39">
        <f t="shared" si="2"/>
        <v>43035</v>
      </c>
      <c r="G88" s="37">
        <v>40</v>
      </c>
      <c r="H88" s="37">
        <v>20</v>
      </c>
      <c r="I88" s="69">
        <f>Table4[[#This Row],[Qté plants/m²]]*Table4[[#This Row],[Surface (m²)]]</f>
        <v>800</v>
      </c>
      <c r="J88" s="37">
        <v>1.5</v>
      </c>
      <c r="K88" s="4" t="s">
        <v>33</v>
      </c>
      <c r="L88" s="37">
        <f>Table4[[#This Row],[Productivité/m²]]*Table4[[#This Row],[Surface (m²)]]</f>
        <v>60</v>
      </c>
    </row>
    <row r="89" spans="1:12">
      <c r="A89" s="19" t="s">
        <v>665</v>
      </c>
      <c r="B89" s="39">
        <f>Table4[[#This Row],[Date plantation]]-Table4[[#This Row],[Tps motte]]</f>
        <v>42963</v>
      </c>
      <c r="C89" s="3"/>
      <c r="D89" s="39">
        <v>42963</v>
      </c>
      <c r="E89" s="3">
        <v>60</v>
      </c>
      <c r="F89" s="4">
        <f t="shared" si="2"/>
        <v>43023</v>
      </c>
      <c r="G89" s="37">
        <v>10</v>
      </c>
      <c r="H89" s="37">
        <v>0</v>
      </c>
      <c r="I89" s="69">
        <f>Table4[[#This Row],[Qté plants/m²]]*Table4[[#This Row],[Surface (m²)]]</f>
        <v>0</v>
      </c>
      <c r="J89" s="37">
        <v>4</v>
      </c>
      <c r="K89" s="4" t="s">
        <v>32</v>
      </c>
      <c r="L89" s="37">
        <f>Table4[[#This Row],[Productivité/m²]]*Table4[[#This Row],[Surface (m²)]]</f>
        <v>40</v>
      </c>
    </row>
    <row r="90" spans="1:12">
      <c r="A90" s="19" t="s">
        <v>680</v>
      </c>
      <c r="B90" s="39">
        <f>Table4[[#This Row],[Date plantation]]-Table4[[#This Row],[Tps motte]]</f>
        <v>42964</v>
      </c>
      <c r="C90" s="3">
        <v>0</v>
      </c>
      <c r="D90" s="39">
        <v>42964</v>
      </c>
      <c r="E90" s="3">
        <v>70</v>
      </c>
      <c r="F90" s="4">
        <f t="shared" si="2"/>
        <v>43034</v>
      </c>
      <c r="G90" s="37">
        <v>10</v>
      </c>
      <c r="H90" s="37">
        <v>0</v>
      </c>
      <c r="I90" s="69">
        <f>Table4[[#This Row],[Qté plants/m²]]*Table4[[#This Row],[Surface (m²)]]</f>
        <v>0</v>
      </c>
      <c r="J90" s="37">
        <v>3</v>
      </c>
      <c r="K90" s="4" t="s">
        <v>33</v>
      </c>
      <c r="L90" s="37">
        <f>Table4[[#This Row],[Productivité/m²]]*Table4[[#This Row],[Surface (m²)]]</f>
        <v>30</v>
      </c>
    </row>
    <row r="91" spans="1:12">
      <c r="A91" s="19" t="s">
        <v>692</v>
      </c>
      <c r="B91" s="39">
        <f>Table4[[#This Row],[Date plantation]]-Table4[[#This Row],[Tps motte]]</f>
        <v>42964</v>
      </c>
      <c r="C91" s="3">
        <v>0</v>
      </c>
      <c r="D91" s="39">
        <v>42964</v>
      </c>
      <c r="E91" s="3">
        <v>70</v>
      </c>
      <c r="F91" s="4">
        <f t="shared" si="2"/>
        <v>43034</v>
      </c>
      <c r="G91" s="37">
        <v>10</v>
      </c>
      <c r="H91" s="37">
        <v>0</v>
      </c>
      <c r="I91" s="69">
        <f>Table4[[#This Row],[Qté plants/m²]]*Table4[[#This Row],[Surface (m²)]]</f>
        <v>0</v>
      </c>
      <c r="J91" s="37">
        <v>3</v>
      </c>
      <c r="K91" s="4" t="s">
        <v>33</v>
      </c>
      <c r="L91" s="37">
        <f>Table4[[#This Row],[Productivité/m²]]*Table4[[#This Row],[Surface (m²)]]</f>
        <v>30</v>
      </c>
    </row>
    <row r="92" spans="1:12">
      <c r="A92" s="19" t="s">
        <v>668</v>
      </c>
      <c r="B92" s="39">
        <f>Table4[[#This Row],[Date plantation]]-Table4[[#This Row],[Tps motte]]</f>
        <v>42966</v>
      </c>
      <c r="C92" s="38">
        <v>19</v>
      </c>
      <c r="D92" s="39">
        <v>42985</v>
      </c>
      <c r="E92" s="38">
        <v>90</v>
      </c>
      <c r="F92" s="39">
        <f t="shared" si="2"/>
        <v>43056</v>
      </c>
      <c r="G92" s="37">
        <v>10</v>
      </c>
      <c r="H92" s="37">
        <v>12</v>
      </c>
      <c r="I92" s="69">
        <f>Table4[[#This Row],[Qté plants/m²]]*Table4[[#This Row],[Surface (m²)]]</f>
        <v>120</v>
      </c>
      <c r="J92" s="37">
        <v>8</v>
      </c>
      <c r="K92" s="4" t="s">
        <v>552</v>
      </c>
      <c r="L92" s="37">
        <f>Table4[[#This Row],[Productivité/m²]]*Table4[[#This Row],[Surface (m²)]]</f>
        <v>80</v>
      </c>
    </row>
    <row r="93" spans="1:12">
      <c r="A93" s="19" t="s">
        <v>688</v>
      </c>
      <c r="B93" s="39">
        <f>Table4[[#This Row],[Date plantation]]-Table4[[#This Row],[Tps motte]]</f>
        <v>42968</v>
      </c>
      <c r="C93" s="3">
        <v>30</v>
      </c>
      <c r="D93" s="39">
        <v>42998</v>
      </c>
      <c r="E93" s="3">
        <v>90</v>
      </c>
      <c r="F93" s="4">
        <f t="shared" si="2"/>
        <v>43058</v>
      </c>
      <c r="G93" s="37">
        <v>20</v>
      </c>
      <c r="H93" s="37">
        <v>100</v>
      </c>
      <c r="I93" s="69">
        <f>Table4[[#This Row],[Qté plants/m²]]*Table4[[#This Row],[Surface (m²)]]</f>
        <v>2000</v>
      </c>
      <c r="J93" s="37">
        <v>1</v>
      </c>
      <c r="K93" s="4" t="s">
        <v>33</v>
      </c>
      <c r="L93" s="37">
        <f>Table4[[#This Row],[Productivité/m²]]*Table4[[#This Row],[Surface (m²)]]</f>
        <v>20</v>
      </c>
    </row>
    <row r="94" spans="1:12">
      <c r="A94" s="19" t="s">
        <v>691</v>
      </c>
      <c r="B94" s="39">
        <f>Table4[[#This Row],[Date plantation]]-Table4[[#This Row],[Tps motte]]</f>
        <v>42972</v>
      </c>
      <c r="C94" s="3">
        <v>0</v>
      </c>
      <c r="D94" s="39">
        <v>42972</v>
      </c>
      <c r="E94" s="3">
        <v>70</v>
      </c>
      <c r="F94" s="4">
        <f t="shared" si="2"/>
        <v>43042</v>
      </c>
      <c r="G94" s="37">
        <v>10</v>
      </c>
      <c r="H94" s="37">
        <v>0</v>
      </c>
      <c r="I94" s="69">
        <f>Table4[[#This Row],[Qté plants/m²]]*Table4[[#This Row],[Surface (m²)]]</f>
        <v>0</v>
      </c>
      <c r="J94" s="37">
        <v>3</v>
      </c>
      <c r="K94" s="4" t="s">
        <v>33</v>
      </c>
      <c r="L94" s="37">
        <f>Table4[[#This Row],[Productivité/m²]]*Table4[[#This Row],[Surface (m²)]]</f>
        <v>30</v>
      </c>
    </row>
    <row r="95" spans="1:12">
      <c r="A95" s="19" t="s">
        <v>684</v>
      </c>
      <c r="B95" s="39">
        <f>Table4[[#This Row],[Date plantation]]-Table4[[#This Row],[Tps motte]]</f>
        <v>42972</v>
      </c>
      <c r="C95" s="3">
        <v>0</v>
      </c>
      <c r="D95" s="39">
        <v>42972</v>
      </c>
      <c r="E95" s="3">
        <v>70</v>
      </c>
      <c r="F95" s="4">
        <f t="shared" si="2"/>
        <v>43042</v>
      </c>
      <c r="G95" s="37">
        <v>10</v>
      </c>
      <c r="H95" s="37">
        <v>0</v>
      </c>
      <c r="I95" s="69">
        <f>Table4[[#This Row],[Qté plants/m²]]*Table4[[#This Row],[Surface (m²)]]</f>
        <v>0</v>
      </c>
      <c r="J95" s="37">
        <v>3</v>
      </c>
      <c r="K95" s="4" t="s">
        <v>33</v>
      </c>
      <c r="L95" s="37">
        <f>Table4[[#This Row],[Productivité/m²]]*Table4[[#This Row],[Surface (m²)]]</f>
        <v>30</v>
      </c>
    </row>
    <row r="96" spans="1:12">
      <c r="A96" s="19" t="s">
        <v>690</v>
      </c>
      <c r="B96" s="39">
        <f>Table4[[#This Row],[Date plantation]]-Table4[[#This Row],[Tps motte]]</f>
        <v>42981</v>
      </c>
      <c r="C96" s="38">
        <v>18</v>
      </c>
      <c r="D96" s="39">
        <v>42999</v>
      </c>
      <c r="E96" s="38">
        <v>75</v>
      </c>
      <c r="F96" s="39">
        <f t="shared" si="2"/>
        <v>43056</v>
      </c>
      <c r="G96" s="37">
        <v>40</v>
      </c>
      <c r="H96" s="37">
        <v>20</v>
      </c>
      <c r="I96" s="69">
        <f>Table4[[#This Row],[Qté plants/m²]]*Table4[[#This Row],[Surface (m²)]]</f>
        <v>800</v>
      </c>
      <c r="J96" s="37">
        <v>1.5</v>
      </c>
      <c r="K96" s="4" t="s">
        <v>33</v>
      </c>
      <c r="L96" s="37">
        <f>Table4[[#This Row],[Productivité/m²]]*Table4[[#This Row],[Surface (m²)]]</f>
        <v>60</v>
      </c>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dimension ref="A1:BS152"/>
  <sheetViews>
    <sheetView zoomScale="130" zoomScaleNormal="130" workbookViewId="0">
      <pane xSplit="2" ySplit="2" topLeftCell="C3" activePane="bottomRight" state="frozen"/>
      <selection pane="topRight" activeCell="C1" sqref="C1"/>
      <selection pane="bottomLeft" activeCell="A3" sqref="A3"/>
      <selection pane="bottomRight" activeCell="AK5" sqref="AK5"/>
    </sheetView>
  </sheetViews>
  <sheetFormatPr defaultRowHeight="15"/>
  <cols>
    <col min="1" max="1" width="31.7109375" style="45" customWidth="1"/>
    <col min="2" max="2" width="19.5703125" style="45" customWidth="1"/>
    <col min="3" max="3" width="38.7109375" style="45" customWidth="1"/>
    <col min="4" max="4" width="9.85546875" style="45" customWidth="1"/>
    <col min="5" max="6" width="9.140625" style="23"/>
    <col min="7" max="8" width="8.28515625" style="45" customWidth="1"/>
    <col min="9" max="9" width="10.85546875" style="45" customWidth="1"/>
    <col min="10" max="10" width="6.5703125" style="45" customWidth="1"/>
    <col min="11" max="11" width="10.85546875" style="45" customWidth="1"/>
    <col min="12" max="12" width="8" style="45" customWidth="1"/>
    <col min="13" max="13" width="14.5703125" style="129" customWidth="1"/>
    <col min="14" max="14" width="10.85546875" style="129" customWidth="1"/>
    <col min="15" max="15" width="5.7109375" style="129" customWidth="1"/>
    <col min="16" max="16" width="5.7109375" style="130" customWidth="1"/>
    <col min="17" max="17" width="5.7109375" style="131" customWidth="1"/>
    <col min="18" max="19" width="5.7109375" style="130" customWidth="1"/>
    <col min="20" max="20" width="5.7109375" style="131" customWidth="1"/>
    <col min="21" max="53" width="5.7109375" style="130" customWidth="1"/>
    <col min="54" max="54" width="5.7109375" style="26" customWidth="1"/>
    <col min="55" max="55" width="11.140625" style="26" customWidth="1"/>
    <col min="56" max="56" width="14.85546875" style="57" customWidth="1"/>
    <col min="57" max="60" width="14.28515625" style="58" customWidth="1"/>
    <col min="61" max="61" width="135.85546875" style="45" customWidth="1"/>
    <col min="62" max="62" width="23.7109375" style="45" customWidth="1"/>
    <col min="63" max="63" width="53.7109375" style="45" customWidth="1"/>
    <col min="64" max="64" width="55" style="45" customWidth="1"/>
    <col min="65" max="65" width="44.7109375" style="45" customWidth="1"/>
    <col min="66" max="67" width="23.7109375" style="45" customWidth="1"/>
    <col min="68" max="68" width="52.42578125" style="45" customWidth="1"/>
    <col min="69" max="69" width="28.42578125" style="45" customWidth="1"/>
    <col min="70" max="16384" width="9.140625" style="45"/>
  </cols>
  <sheetData>
    <row r="1" spans="1:71" s="59" customFormat="1" ht="31.5" customHeight="1">
      <c r="A1" s="47" t="s">
        <v>34</v>
      </c>
      <c r="B1" s="47" t="s">
        <v>478</v>
      </c>
      <c r="C1" s="47" t="s">
        <v>17</v>
      </c>
      <c r="D1" s="47" t="s">
        <v>19</v>
      </c>
      <c r="E1" s="47" t="s">
        <v>539</v>
      </c>
      <c r="F1" s="47" t="s">
        <v>479</v>
      </c>
      <c r="G1" s="47" t="s">
        <v>16</v>
      </c>
      <c r="H1" s="47" t="s">
        <v>27</v>
      </c>
      <c r="I1" s="47" t="s">
        <v>13</v>
      </c>
      <c r="J1" s="47" t="s">
        <v>30</v>
      </c>
      <c r="K1" s="47" t="s">
        <v>18</v>
      </c>
      <c r="L1" s="47" t="s">
        <v>31</v>
      </c>
      <c r="M1" s="97" t="s">
        <v>14</v>
      </c>
      <c r="N1" s="97" t="s">
        <v>1900</v>
      </c>
      <c r="O1" s="114" t="s">
        <v>786</v>
      </c>
      <c r="P1" s="114" t="s">
        <v>499</v>
      </c>
      <c r="Q1" s="114" t="s">
        <v>500</v>
      </c>
      <c r="R1" s="114" t="s">
        <v>501</v>
      </c>
      <c r="S1" s="114" t="s">
        <v>502</v>
      </c>
      <c r="T1" s="114" t="s">
        <v>503</v>
      </c>
      <c r="U1" s="114" t="s">
        <v>504</v>
      </c>
      <c r="V1" s="114" t="s">
        <v>505</v>
      </c>
      <c r="W1" s="114" t="s">
        <v>506</v>
      </c>
      <c r="X1" s="114" t="s">
        <v>507</v>
      </c>
      <c r="Y1" s="114" t="s">
        <v>508</v>
      </c>
      <c r="Z1" s="114" t="s">
        <v>509</v>
      </c>
      <c r="AA1" s="114" t="s">
        <v>510</v>
      </c>
      <c r="AB1" s="114" t="s">
        <v>511</v>
      </c>
      <c r="AC1" s="114" t="s">
        <v>512</v>
      </c>
      <c r="AD1" s="114" t="s">
        <v>513</v>
      </c>
      <c r="AE1" s="114" t="s">
        <v>514</v>
      </c>
      <c r="AF1" s="114" t="s">
        <v>515</v>
      </c>
      <c r="AG1" s="114" t="s">
        <v>516</v>
      </c>
      <c r="AH1" s="114" t="s">
        <v>517</v>
      </c>
      <c r="AI1" s="114" t="s">
        <v>518</v>
      </c>
      <c r="AJ1" s="114" t="s">
        <v>519</v>
      </c>
      <c r="AK1" s="114" t="s">
        <v>520</v>
      </c>
      <c r="AL1" s="114" t="s">
        <v>521</v>
      </c>
      <c r="AM1" s="114" t="s">
        <v>522</v>
      </c>
      <c r="AN1" s="114" t="s">
        <v>523</v>
      </c>
      <c r="AO1" s="114" t="s">
        <v>524</v>
      </c>
      <c r="AP1" s="114" t="s">
        <v>525</v>
      </c>
      <c r="AQ1" s="114" t="s">
        <v>526</v>
      </c>
      <c r="AR1" s="114" t="s">
        <v>527</v>
      </c>
      <c r="AS1" s="114" t="s">
        <v>528</v>
      </c>
      <c r="AT1" s="114" t="s">
        <v>529</v>
      </c>
      <c r="AU1" s="114" t="s">
        <v>530</v>
      </c>
      <c r="AV1" s="114" t="s">
        <v>531</v>
      </c>
      <c r="AW1" s="114" t="s">
        <v>532</v>
      </c>
      <c r="AX1" s="114" t="s">
        <v>533</v>
      </c>
      <c r="AY1" s="114" t="s">
        <v>534</v>
      </c>
      <c r="AZ1" s="114" t="s">
        <v>535</v>
      </c>
      <c r="BA1" s="114" t="s">
        <v>536</v>
      </c>
      <c r="BB1" s="24" t="s">
        <v>537</v>
      </c>
      <c r="BC1" s="48" t="s">
        <v>15</v>
      </c>
      <c r="BD1" s="49" t="s">
        <v>476</v>
      </c>
      <c r="BE1" s="49" t="s">
        <v>477</v>
      </c>
      <c r="BF1" s="49" t="s">
        <v>854</v>
      </c>
      <c r="BG1" s="49" t="s">
        <v>856</v>
      </c>
      <c r="BH1" s="49" t="s">
        <v>855</v>
      </c>
      <c r="BI1" s="47" t="s">
        <v>540</v>
      </c>
      <c r="BJ1" s="50" t="s">
        <v>90</v>
      </c>
      <c r="BK1" s="50" t="s">
        <v>475</v>
      </c>
      <c r="BL1" s="47" t="s">
        <v>23</v>
      </c>
      <c r="BM1" s="50" t="s">
        <v>473</v>
      </c>
      <c r="BN1" s="50" t="s">
        <v>472</v>
      </c>
      <c r="BO1" s="50" t="s">
        <v>474</v>
      </c>
      <c r="BP1" s="50"/>
    </row>
    <row r="2" spans="1:71" s="83" customFormat="1" ht="14.25" customHeight="1">
      <c r="A2" s="79"/>
      <c r="B2" s="79"/>
      <c r="C2" s="79"/>
      <c r="D2" s="79"/>
      <c r="E2" s="79"/>
      <c r="F2" s="79"/>
      <c r="G2" s="79"/>
      <c r="H2" s="79"/>
      <c r="I2" s="80"/>
      <c r="J2" s="81">
        <f>Table11[[#This Row],[Date plantation]]-Table11[[#This Row],[Date semis]]</f>
        <v>0</v>
      </c>
      <c r="K2" s="80"/>
      <c r="L2" s="81"/>
      <c r="M2" s="115"/>
      <c r="N2" s="115"/>
      <c r="O2" s="115">
        <v>42821</v>
      </c>
      <c r="P2" s="115">
        <f>Table11[[#This Row],[S13]]+7</f>
        <v>42828</v>
      </c>
      <c r="Q2" s="115">
        <f>Table11[[#This Row],[S14]]+7</f>
        <v>42835</v>
      </c>
      <c r="R2" s="115">
        <f>Table11[[#This Row],[S15]]+7</f>
        <v>42842</v>
      </c>
      <c r="S2" s="115">
        <f>Table11[[#This Row],[S16]]+7</f>
        <v>42849</v>
      </c>
      <c r="T2" s="115">
        <f>Table11[[#This Row],[S17]]+7</f>
        <v>42856</v>
      </c>
      <c r="U2" s="115">
        <f>Table11[[#This Row],[S18]]+7</f>
        <v>42863</v>
      </c>
      <c r="V2" s="115">
        <f>Table11[[#This Row],[S19]]+7</f>
        <v>42870</v>
      </c>
      <c r="W2" s="115">
        <f>Table11[[#This Row],[S20]]+7</f>
        <v>42877</v>
      </c>
      <c r="X2" s="115">
        <f>Table11[[#This Row],[S21]]+7</f>
        <v>42884</v>
      </c>
      <c r="Y2" s="115">
        <f>Table11[[#This Row],[S22]]+7</f>
        <v>42891</v>
      </c>
      <c r="Z2" s="115">
        <f>Table11[[#This Row],[S23]]+7</f>
        <v>42898</v>
      </c>
      <c r="AA2" s="115">
        <f>Table11[[#This Row],[S24]]+7</f>
        <v>42905</v>
      </c>
      <c r="AB2" s="115">
        <f>Table11[[#This Row],[S25]]+7</f>
        <v>42912</v>
      </c>
      <c r="AC2" s="115">
        <f>Table11[[#This Row],[S26]]+7</f>
        <v>42919</v>
      </c>
      <c r="AD2" s="115">
        <f>Table11[[#This Row],[S27]]+7</f>
        <v>42926</v>
      </c>
      <c r="AE2" s="115">
        <f>Table11[[#This Row],[S28]]+7</f>
        <v>42933</v>
      </c>
      <c r="AF2" s="115">
        <f>Table11[[#This Row],[S29]]+7</f>
        <v>42940</v>
      </c>
      <c r="AG2" s="115">
        <f>Table11[[#This Row],[S30]]+7</f>
        <v>42947</v>
      </c>
      <c r="AH2" s="115">
        <f>Table11[[#This Row],[S31]]+7</f>
        <v>42954</v>
      </c>
      <c r="AI2" s="115">
        <f>Table11[[#This Row],[S32]]+7</f>
        <v>42961</v>
      </c>
      <c r="AJ2" s="115">
        <f>Table11[[#This Row],[S33]]+7</f>
        <v>42968</v>
      </c>
      <c r="AK2" s="115">
        <f>Table11[[#This Row],[S34]]+7</f>
        <v>42975</v>
      </c>
      <c r="AL2" s="115">
        <f>Table11[[#This Row],[S35]]+7</f>
        <v>42982</v>
      </c>
      <c r="AM2" s="115">
        <f>Table11[[#This Row],[S36]]+7</f>
        <v>42989</v>
      </c>
      <c r="AN2" s="115">
        <f>Table11[[#This Row],[S37]]+7</f>
        <v>42996</v>
      </c>
      <c r="AO2" s="115">
        <f>Table11[[#This Row],[S38]]+7</f>
        <v>43003</v>
      </c>
      <c r="AP2" s="115">
        <f>Table11[[#This Row],[S39]]+7</f>
        <v>43010</v>
      </c>
      <c r="AQ2" s="115">
        <f>Table11[[#This Row],[S40]]+7</f>
        <v>43017</v>
      </c>
      <c r="AR2" s="115">
        <f>Table11[[#This Row],[S41]]+7</f>
        <v>43024</v>
      </c>
      <c r="AS2" s="115">
        <f>Table11[[#This Row],[S42]]+7</f>
        <v>43031</v>
      </c>
      <c r="AT2" s="115">
        <f>Table11[[#This Row],[S43]]+7</f>
        <v>43038</v>
      </c>
      <c r="AU2" s="115">
        <f>Table11[[#This Row],[S44]]+7</f>
        <v>43045</v>
      </c>
      <c r="AV2" s="115">
        <f>Table11[[#This Row],[S45]]+7</f>
        <v>43052</v>
      </c>
      <c r="AW2" s="115">
        <f>Table11[[#This Row],[S46]]+7</f>
        <v>43059</v>
      </c>
      <c r="AX2" s="115">
        <f>Table11[[#This Row],[S47]]+7</f>
        <v>43066</v>
      </c>
      <c r="AY2" s="115">
        <f>Table11[[#This Row],[S48]]+7</f>
        <v>43073</v>
      </c>
      <c r="AZ2" s="115">
        <f>Table11[[#This Row],[S49]]+7</f>
        <v>43080</v>
      </c>
      <c r="BA2" s="115">
        <f>Table11[[#This Row],[S50]]+7</f>
        <v>43087</v>
      </c>
      <c r="BB2" s="80">
        <f>Table11[[#This Row],[S51]]+7</f>
        <v>43094</v>
      </c>
      <c r="BC2" s="82"/>
      <c r="BD2" s="81">
        <f t="shared" ref="BD2:BD33" si="0">BC2-M2</f>
        <v>0</v>
      </c>
      <c r="BE2" s="81">
        <f>SUM(Table11[[#This Row],[S13]:[S52]])</f>
        <v>1718300</v>
      </c>
      <c r="BF2" s="81"/>
      <c r="BG2" s="81"/>
      <c r="BH2" s="81"/>
      <c r="BI2" s="79"/>
      <c r="BJ2" s="79"/>
      <c r="BK2" s="79"/>
      <c r="BL2" s="79"/>
      <c r="BM2" s="79"/>
      <c r="BN2" s="79"/>
      <c r="BO2" s="79"/>
      <c r="BP2" s="79"/>
    </row>
    <row r="3" spans="1:71" s="59" customFormat="1" ht="12.75" customHeight="1">
      <c r="A3" s="47" t="s">
        <v>731</v>
      </c>
      <c r="B3" s="59" t="s">
        <v>492</v>
      </c>
      <c r="C3" s="47" t="s">
        <v>538</v>
      </c>
      <c r="D3" s="47">
        <v>44</v>
      </c>
      <c r="E3" s="47">
        <v>2</v>
      </c>
      <c r="F3" s="47">
        <v>15</v>
      </c>
      <c r="G3" s="47">
        <v>1000</v>
      </c>
      <c r="H3" s="60">
        <v>0</v>
      </c>
      <c r="I3" s="61">
        <v>42683</v>
      </c>
      <c r="J3" s="49">
        <f>Table11[[#This Row],[Date plantation]]-Table11[[#This Row],[Date semis]]</f>
        <v>0</v>
      </c>
      <c r="K3" s="61">
        <v>42683</v>
      </c>
      <c r="L3" s="49">
        <f t="shared" ref="L3:L34" si="1">M3-I3</f>
        <v>159</v>
      </c>
      <c r="M3" s="116">
        <v>42842</v>
      </c>
      <c r="N3" s="116" t="s">
        <v>33</v>
      </c>
      <c r="O3" s="97"/>
      <c r="P3" s="97"/>
      <c r="Q3" s="97"/>
      <c r="R3" s="97">
        <v>8</v>
      </c>
      <c r="S3" s="97">
        <v>17.5</v>
      </c>
      <c r="T3" s="97">
        <v>21</v>
      </c>
      <c r="U3" s="97">
        <f>3.5+9</f>
        <v>12.5</v>
      </c>
      <c r="V3" s="97">
        <f>15+5+15+9</f>
        <v>44</v>
      </c>
      <c r="W3" s="97">
        <f>15+6+6+11</f>
        <v>38</v>
      </c>
      <c r="X3" s="97">
        <v>14</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47"/>
      <c r="BC3" s="48">
        <v>42884</v>
      </c>
      <c r="BD3" s="49">
        <f t="shared" si="0"/>
        <v>42</v>
      </c>
      <c r="BE3" s="49">
        <f>SUM(Table11[[#This Row],[S13]:[S52]])</f>
        <v>155</v>
      </c>
      <c r="BF3" s="49">
        <v>3</v>
      </c>
      <c r="BG3" s="49">
        <v>40</v>
      </c>
      <c r="BH3" s="49">
        <f>Table11[[#This Row],[Quantité récolté]]*Table11[[#This Row],[Prix de vente Moy.]]/Table11[[#This Row],[Surface cultivée (m²)]]</f>
        <v>11.625</v>
      </c>
      <c r="BI3" s="51" t="s">
        <v>541</v>
      </c>
      <c r="BJ3" s="49"/>
      <c r="BK3" s="49"/>
      <c r="BL3" s="47"/>
      <c r="BM3" s="47"/>
      <c r="BN3" s="47"/>
      <c r="BO3" s="47"/>
      <c r="BP3" s="47"/>
      <c r="BQ3" s="47"/>
      <c r="BR3" s="47"/>
      <c r="BS3" s="47"/>
    </row>
    <row r="4" spans="1:71" s="59" customFormat="1" ht="12.75" customHeight="1">
      <c r="A4" s="47" t="s">
        <v>732</v>
      </c>
      <c r="B4" s="59" t="s">
        <v>413</v>
      </c>
      <c r="C4" s="47" t="s">
        <v>544</v>
      </c>
      <c r="D4" s="47">
        <v>44</v>
      </c>
      <c r="E4" s="47">
        <v>4</v>
      </c>
      <c r="F4" s="47">
        <v>15</v>
      </c>
      <c r="G4" s="47">
        <v>4000</v>
      </c>
      <c r="H4" s="60">
        <v>0</v>
      </c>
      <c r="I4" s="61">
        <v>42698</v>
      </c>
      <c r="J4" s="49">
        <f>Table11[[#This Row],[Date plantation]]-Table11[[#This Row],[Date semis]]</f>
        <v>0</v>
      </c>
      <c r="K4" s="61">
        <v>42698</v>
      </c>
      <c r="L4" s="49">
        <f t="shared" si="1"/>
        <v>131</v>
      </c>
      <c r="M4" s="116">
        <v>42829</v>
      </c>
      <c r="N4" s="116" t="s">
        <v>1901</v>
      </c>
      <c r="O4" s="97"/>
      <c r="P4" s="97">
        <v>16</v>
      </c>
      <c r="Q4" s="97">
        <v>9</v>
      </c>
      <c r="R4" s="97"/>
      <c r="S4" s="97"/>
      <c r="T4" s="97"/>
      <c r="U4" s="97"/>
      <c r="V4" s="97">
        <f>10+10</f>
        <v>20</v>
      </c>
      <c r="W4" s="97">
        <v>35</v>
      </c>
      <c r="X4" s="183">
        <v>14</v>
      </c>
      <c r="Y4" s="183">
        <f>10+1+1.2</f>
        <v>12.2</v>
      </c>
      <c r="Z4" s="183">
        <f>0.5+6+4.5</f>
        <v>11</v>
      </c>
      <c r="AA4" s="183">
        <v>10</v>
      </c>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47"/>
      <c r="BC4" s="48">
        <v>42905</v>
      </c>
      <c r="BD4" s="49">
        <f t="shared" si="0"/>
        <v>76</v>
      </c>
      <c r="BE4" s="49">
        <f>SUM(Table11[[#This Row],[S13]:[S52]])</f>
        <v>127.2</v>
      </c>
      <c r="BF4" s="49"/>
      <c r="BG4" s="49">
        <v>40</v>
      </c>
      <c r="BH4" s="49">
        <f>Table11[[#This Row],[Quantité récolté]]*Table11[[#This Row],[Prix de vente Moy.]]/Table11[[#This Row],[Surface cultivée (m²)]]</f>
        <v>0</v>
      </c>
      <c r="BI4" s="51"/>
      <c r="BJ4" s="49"/>
      <c r="BK4" s="49"/>
      <c r="BL4" s="47"/>
      <c r="BM4" s="47"/>
      <c r="BN4" s="47"/>
      <c r="BO4" s="47"/>
      <c r="BP4" s="47"/>
      <c r="BQ4" s="47"/>
      <c r="BR4" s="47"/>
      <c r="BS4" s="47"/>
    </row>
    <row r="5" spans="1:71" s="59" customFormat="1" ht="12.75" customHeight="1">
      <c r="A5" s="47" t="s">
        <v>742</v>
      </c>
      <c r="B5" s="59" t="s">
        <v>685</v>
      </c>
      <c r="C5" s="47" t="s">
        <v>719</v>
      </c>
      <c r="D5" s="47">
        <v>22</v>
      </c>
      <c r="E5" s="47">
        <v>8</v>
      </c>
      <c r="F5" s="47">
        <v>10</v>
      </c>
      <c r="G5" s="47">
        <v>15</v>
      </c>
      <c r="H5" s="60">
        <v>1500</v>
      </c>
      <c r="I5" s="61">
        <v>42741</v>
      </c>
      <c r="J5" s="49">
        <f>Table11[[#This Row],[Date plantation]]-Table11[[#This Row],[Date semis]]</f>
        <v>45</v>
      </c>
      <c r="K5" s="61">
        <v>42786</v>
      </c>
      <c r="L5" s="49">
        <f t="shared" si="1"/>
        <v>82</v>
      </c>
      <c r="M5" s="116">
        <v>42823</v>
      </c>
      <c r="N5" s="116" t="s">
        <v>33</v>
      </c>
      <c r="O5" s="97">
        <v>3</v>
      </c>
      <c r="P5" s="97">
        <v>5.5</v>
      </c>
      <c r="Q5" s="97">
        <v>6</v>
      </c>
      <c r="R5" s="97">
        <v>6</v>
      </c>
      <c r="S5" s="97">
        <v>3</v>
      </c>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47"/>
      <c r="BC5" s="48">
        <v>42849</v>
      </c>
      <c r="BD5" s="49">
        <f t="shared" si="0"/>
        <v>26</v>
      </c>
      <c r="BE5" s="49">
        <f>SUM(Table11[[#This Row],[S13]:[S52]])</f>
        <v>23.5</v>
      </c>
      <c r="BF5" s="49">
        <v>9</v>
      </c>
      <c r="BG5" s="49">
        <v>20</v>
      </c>
      <c r="BH5" s="49">
        <f>Table11[[#This Row],[Quantité récolté]]*Table11[[#This Row],[Prix de vente Moy.]]/Table11[[#This Row],[Surface cultivée (m²)]]</f>
        <v>10.574999999999999</v>
      </c>
      <c r="BI5" s="51"/>
      <c r="BJ5" s="49"/>
      <c r="BK5" s="49"/>
      <c r="BL5" s="47" t="s">
        <v>494</v>
      </c>
      <c r="BM5" s="47"/>
      <c r="BN5" s="47"/>
      <c r="BO5" s="47"/>
      <c r="BP5" s="47"/>
      <c r="BQ5" s="47"/>
      <c r="BR5" s="47"/>
      <c r="BS5" s="47"/>
    </row>
    <row r="6" spans="1:71" s="59" customFormat="1" ht="12.75" customHeight="1">
      <c r="A6" s="47" t="s">
        <v>736</v>
      </c>
      <c r="B6" s="59" t="s">
        <v>322</v>
      </c>
      <c r="C6" s="47" t="s">
        <v>705</v>
      </c>
      <c r="D6" s="47"/>
      <c r="E6" s="47"/>
      <c r="F6" s="47"/>
      <c r="G6" s="47">
        <v>15</v>
      </c>
      <c r="H6" s="60">
        <v>1300</v>
      </c>
      <c r="I6" s="61">
        <v>42744</v>
      </c>
      <c r="J6" s="49">
        <f>Table11[[#This Row],[Date plantation]]-Table11[[#This Row],[Date semis]]</f>
        <v>39</v>
      </c>
      <c r="K6" s="61">
        <v>42783</v>
      </c>
      <c r="L6" s="49">
        <f t="shared" si="1"/>
        <v>162</v>
      </c>
      <c r="M6" s="116">
        <v>42906</v>
      </c>
      <c r="N6" s="116" t="s">
        <v>1901</v>
      </c>
      <c r="O6" s="97"/>
      <c r="P6" s="97"/>
      <c r="Q6" s="97"/>
      <c r="R6" s="97"/>
      <c r="S6" s="97"/>
      <c r="T6" s="97"/>
      <c r="U6" s="97"/>
      <c r="V6" s="97"/>
      <c r="W6" s="97"/>
      <c r="X6" s="97"/>
      <c r="Y6" s="97"/>
      <c r="Z6" s="97"/>
      <c r="AA6" s="97">
        <v>40</v>
      </c>
      <c r="AB6" s="97">
        <v>29</v>
      </c>
      <c r="AC6" s="97">
        <f>10+7+10+11</f>
        <v>38</v>
      </c>
      <c r="AD6" s="97">
        <v>45</v>
      </c>
      <c r="AE6" s="97">
        <v>65</v>
      </c>
      <c r="AF6" s="97">
        <v>10</v>
      </c>
      <c r="AG6" s="97">
        <v>5</v>
      </c>
      <c r="AH6" s="183">
        <v>20</v>
      </c>
      <c r="AI6" s="97"/>
      <c r="AJ6" s="97"/>
      <c r="AK6" s="97"/>
      <c r="AL6" s="97"/>
      <c r="AM6" s="97"/>
      <c r="AN6" s="97"/>
      <c r="AO6" s="97"/>
      <c r="AP6" s="97"/>
      <c r="AQ6" s="97"/>
      <c r="AR6" s="97"/>
      <c r="AS6" s="97"/>
      <c r="AT6" s="97"/>
      <c r="AU6" s="97"/>
      <c r="AV6" s="97"/>
      <c r="AW6" s="97"/>
      <c r="AX6" s="97"/>
      <c r="AY6" s="97"/>
      <c r="AZ6" s="97"/>
      <c r="BA6" s="97"/>
      <c r="BB6" s="47"/>
      <c r="BC6" s="48">
        <v>42954</v>
      </c>
      <c r="BD6" s="49">
        <f t="shared" si="0"/>
        <v>48</v>
      </c>
      <c r="BE6" s="49">
        <f>SUM(Table11[[#This Row],[S13]:[S52]])</f>
        <v>252</v>
      </c>
      <c r="BF6" s="49">
        <v>1.9</v>
      </c>
      <c r="BG6" s="49">
        <v>60</v>
      </c>
      <c r="BH6" s="49">
        <f>Table11[[#This Row],[Quantité récolté]]*Table11[[#This Row],[Prix de vente Moy.]]/Table11[[#This Row],[Surface cultivée (m²)]]</f>
        <v>7.9799999999999995</v>
      </c>
      <c r="BI6" s="51"/>
      <c r="BJ6" s="49"/>
      <c r="BK6" s="49"/>
      <c r="BL6" s="47" t="s">
        <v>493</v>
      </c>
      <c r="BM6" s="47"/>
      <c r="BN6" s="47"/>
      <c r="BO6" s="47"/>
      <c r="BP6" s="47"/>
      <c r="BQ6" s="47"/>
      <c r="BR6" s="47"/>
      <c r="BS6" s="47"/>
    </row>
    <row r="7" spans="1:71" s="59" customFormat="1" ht="12.75" customHeight="1">
      <c r="A7" s="47" t="s">
        <v>742</v>
      </c>
      <c r="B7" s="59" t="s">
        <v>707</v>
      </c>
      <c r="C7" s="47" t="s">
        <v>706</v>
      </c>
      <c r="D7" s="47">
        <v>22</v>
      </c>
      <c r="E7" s="47">
        <v>3</v>
      </c>
      <c r="F7" s="47">
        <v>10</v>
      </c>
      <c r="G7" s="47">
        <v>15</v>
      </c>
      <c r="H7" s="60">
        <v>700</v>
      </c>
      <c r="I7" s="61">
        <v>42744</v>
      </c>
      <c r="J7" s="49">
        <f>Table11[[#This Row],[Date plantation]]-Table11[[#This Row],[Date semis]]</f>
        <v>44</v>
      </c>
      <c r="K7" s="61">
        <v>42788</v>
      </c>
      <c r="L7" s="49">
        <f t="shared" si="1"/>
        <v>154</v>
      </c>
      <c r="M7" s="116">
        <v>42898</v>
      </c>
      <c r="N7" s="116" t="s">
        <v>32</v>
      </c>
      <c r="O7" s="97"/>
      <c r="P7" s="97"/>
      <c r="Q7" s="97"/>
      <c r="R7" s="97"/>
      <c r="S7" s="97"/>
      <c r="T7" s="97"/>
      <c r="U7" s="97"/>
      <c r="V7" s="97"/>
      <c r="W7" s="97"/>
      <c r="X7" s="97"/>
      <c r="Y7" s="97"/>
      <c r="Z7" s="97">
        <v>12</v>
      </c>
      <c r="AA7" s="97">
        <v>12</v>
      </c>
      <c r="AB7" s="97">
        <v>6</v>
      </c>
      <c r="AC7" s="97">
        <v>9</v>
      </c>
      <c r="AD7" s="97">
        <f>12+3</f>
        <v>15</v>
      </c>
      <c r="AE7" s="97">
        <v>4</v>
      </c>
      <c r="AF7" s="97"/>
      <c r="AG7" s="97"/>
      <c r="AH7" s="97"/>
      <c r="AI7" s="97"/>
      <c r="AJ7" s="97"/>
      <c r="AK7" s="97"/>
      <c r="AL7" s="97"/>
      <c r="AM7" s="97"/>
      <c r="AN7" s="97"/>
      <c r="AO7" s="97"/>
      <c r="AP7" s="97"/>
      <c r="AQ7" s="97"/>
      <c r="AR7" s="97"/>
      <c r="AS7" s="97"/>
      <c r="AT7" s="97"/>
      <c r="AU7" s="97"/>
      <c r="AV7" s="97"/>
      <c r="AW7" s="97"/>
      <c r="AX7" s="97"/>
      <c r="AY7" s="97"/>
      <c r="AZ7" s="97"/>
      <c r="BA7" s="97"/>
      <c r="BB7" s="47"/>
      <c r="BC7" s="48">
        <v>42933</v>
      </c>
      <c r="BD7" s="49">
        <f t="shared" si="0"/>
        <v>35</v>
      </c>
      <c r="BE7" s="49">
        <f>SUM(Table11[[#This Row],[S13]:[S52]])</f>
        <v>58</v>
      </c>
      <c r="BF7" s="49">
        <v>1.5</v>
      </c>
      <c r="BG7" s="49">
        <v>20</v>
      </c>
      <c r="BH7" s="49">
        <f>Table11[[#This Row],[Quantité récolté]]*Table11[[#This Row],[Prix de vente Moy.]]/Table11[[#This Row],[Surface cultivée (m²)]]</f>
        <v>4.3499999999999996</v>
      </c>
      <c r="BI7" s="51"/>
      <c r="BJ7" s="49"/>
      <c r="BK7" s="49"/>
      <c r="BL7" s="47"/>
      <c r="BM7" s="47"/>
      <c r="BN7" s="47"/>
      <c r="BO7" s="47"/>
      <c r="BP7" s="47"/>
      <c r="BQ7" s="47"/>
      <c r="BR7" s="47"/>
      <c r="BS7" s="47"/>
    </row>
    <row r="8" spans="1:71" s="59" customFormat="1" ht="12.75" customHeight="1">
      <c r="A8" s="47" t="s">
        <v>753</v>
      </c>
      <c r="B8" s="59" t="s">
        <v>555</v>
      </c>
      <c r="C8" s="47" t="s">
        <v>708</v>
      </c>
      <c r="D8" s="47">
        <v>22</v>
      </c>
      <c r="E8" s="47">
        <v>3</v>
      </c>
      <c r="F8" s="47">
        <v>20</v>
      </c>
      <c r="G8" s="47">
        <v>2</v>
      </c>
      <c r="H8" s="60">
        <v>400</v>
      </c>
      <c r="I8" s="61">
        <v>42747</v>
      </c>
      <c r="J8" s="49">
        <f>Table11[[#This Row],[Date plantation]]-Table11[[#This Row],[Date semis]]</f>
        <v>44</v>
      </c>
      <c r="K8" s="61">
        <v>42791</v>
      </c>
      <c r="L8" s="49">
        <f t="shared" si="1"/>
        <v>131</v>
      </c>
      <c r="M8" s="116">
        <v>42878</v>
      </c>
      <c r="N8" s="116" t="s">
        <v>33</v>
      </c>
      <c r="O8" s="97"/>
      <c r="P8" s="97"/>
      <c r="Q8" s="97"/>
      <c r="R8" s="97"/>
      <c r="S8" s="97"/>
      <c r="T8" s="97"/>
      <c r="U8" s="97"/>
      <c r="V8" s="97"/>
      <c r="W8" s="97">
        <v>16</v>
      </c>
      <c r="X8" s="97">
        <v>15</v>
      </c>
      <c r="Y8" s="97">
        <f>5+3.5+3.5</f>
        <v>12</v>
      </c>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47"/>
      <c r="BC8" s="48">
        <v>42891</v>
      </c>
      <c r="BD8" s="49">
        <f t="shared" si="0"/>
        <v>13</v>
      </c>
      <c r="BE8" s="49">
        <f>SUM(Table11[[#This Row],[S13]:[S52]])</f>
        <v>43</v>
      </c>
      <c r="BF8" s="49">
        <v>3.5</v>
      </c>
      <c r="BG8" s="49">
        <v>22</v>
      </c>
      <c r="BH8" s="49">
        <f>Table11[[#This Row],[Quantité récolté]]*Table11[[#This Row],[Prix de vente Moy.]]/Table11[[#This Row],[Surface cultivée (m²)]]</f>
        <v>6.8409090909090908</v>
      </c>
      <c r="BI8" s="51"/>
      <c r="BJ8" s="49"/>
      <c r="BK8" s="49"/>
      <c r="BL8" s="47"/>
      <c r="BM8" s="47"/>
      <c r="BN8" s="47"/>
      <c r="BO8" s="47"/>
      <c r="BP8" s="47"/>
      <c r="BQ8" s="47"/>
      <c r="BR8" s="47"/>
      <c r="BS8" s="47"/>
    </row>
    <row r="9" spans="1:71" s="59" customFormat="1" ht="12.75" customHeight="1">
      <c r="A9" s="47" t="s">
        <v>762</v>
      </c>
      <c r="B9" s="59" t="s">
        <v>569</v>
      </c>
      <c r="C9" s="47" t="s">
        <v>709</v>
      </c>
      <c r="D9" s="47">
        <v>33</v>
      </c>
      <c r="E9" s="47">
        <v>8</v>
      </c>
      <c r="F9" s="47">
        <v>10</v>
      </c>
      <c r="G9" s="47">
        <v>15</v>
      </c>
      <c r="H9" s="60">
        <v>2500</v>
      </c>
      <c r="I9" s="61">
        <v>42758</v>
      </c>
      <c r="J9" s="49">
        <f>Table11[[#This Row],[Date plantation]]-Table11[[#This Row],[Date semis]]</f>
        <v>38</v>
      </c>
      <c r="K9" s="61">
        <v>42796</v>
      </c>
      <c r="L9" s="49">
        <f t="shared" si="1"/>
        <v>78</v>
      </c>
      <c r="M9" s="116">
        <v>42836</v>
      </c>
      <c r="N9" s="116" t="s">
        <v>33</v>
      </c>
      <c r="O9" s="97"/>
      <c r="P9" s="97"/>
      <c r="Q9" s="97">
        <v>10</v>
      </c>
      <c r="R9" s="97">
        <v>9</v>
      </c>
      <c r="S9" s="97">
        <v>11</v>
      </c>
      <c r="T9" s="97">
        <v>1.2</v>
      </c>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47"/>
      <c r="BC9" s="48">
        <v>42856</v>
      </c>
      <c r="BD9" s="49">
        <f t="shared" si="0"/>
        <v>20</v>
      </c>
      <c r="BE9" s="49">
        <f>SUM(Table11[[#This Row],[S13]:[S52]])</f>
        <v>31.2</v>
      </c>
      <c r="BF9" s="49">
        <v>9</v>
      </c>
      <c r="BG9" s="49">
        <v>30</v>
      </c>
      <c r="BH9" s="49">
        <f>Table11[[#This Row],[Quantité récolté]]*Table11[[#This Row],[Prix de vente Moy.]]/Table11[[#This Row],[Surface cultivée (m²)]]</f>
        <v>9.3600000000000012</v>
      </c>
      <c r="BI9" s="51"/>
      <c r="BJ9" s="49"/>
      <c r="BK9" s="49"/>
      <c r="BL9" s="47"/>
      <c r="BM9" s="47"/>
      <c r="BN9" s="47"/>
      <c r="BO9" s="47"/>
      <c r="BP9" s="47"/>
      <c r="BQ9" s="47"/>
      <c r="BR9" s="47"/>
      <c r="BS9" s="47"/>
    </row>
    <row r="10" spans="1:71" s="59" customFormat="1" ht="12.75" customHeight="1">
      <c r="A10" s="84" t="s">
        <v>733</v>
      </c>
      <c r="B10" s="85" t="s">
        <v>545</v>
      </c>
      <c r="C10" s="47" t="s">
        <v>710</v>
      </c>
      <c r="D10" s="47"/>
      <c r="E10" s="47"/>
      <c r="F10" s="47"/>
      <c r="G10" s="47">
        <v>40</v>
      </c>
      <c r="H10" s="60">
        <v>1000</v>
      </c>
      <c r="I10" s="61">
        <v>42758</v>
      </c>
      <c r="J10" s="49">
        <f>Table11[[#This Row],[Date plantation]]-Table11[[#This Row],[Date semis]]</f>
        <v>23</v>
      </c>
      <c r="K10" s="61">
        <v>42781</v>
      </c>
      <c r="L10" s="49">
        <f t="shared" si="1"/>
        <v>-42758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47"/>
      <c r="BC10" s="48"/>
      <c r="BD10" s="49">
        <f t="shared" si="0"/>
        <v>0</v>
      </c>
      <c r="BE10" s="49">
        <f>SUM(Table11[[#This Row],[S13]:[S52]])</f>
        <v>0</v>
      </c>
      <c r="BF10" s="49"/>
      <c r="BG10" s="49"/>
      <c r="BH10" s="49" t="e">
        <f>Table11[[#This Row],[Quantité récolté]]*Table11[[#This Row],[Prix de vente Moy.]]/Table11[[#This Row],[Surface cultivée (m²)]]</f>
        <v>#DIV/0!</v>
      </c>
      <c r="BI10" s="51"/>
      <c r="BJ10" s="49"/>
      <c r="BK10" s="49"/>
      <c r="BL10" s="47"/>
      <c r="BM10" s="47"/>
      <c r="BN10" s="47"/>
      <c r="BO10" s="47"/>
      <c r="BP10" s="47"/>
      <c r="BQ10" s="47"/>
      <c r="BR10" s="47"/>
      <c r="BS10" s="47"/>
    </row>
    <row r="11" spans="1:71" s="59" customFormat="1" ht="12.75" customHeight="1">
      <c r="A11" s="47" t="s">
        <v>734</v>
      </c>
      <c r="B11" s="59" t="s">
        <v>587</v>
      </c>
      <c r="C11" s="47" t="s">
        <v>711</v>
      </c>
      <c r="D11" s="47">
        <v>55</v>
      </c>
      <c r="E11" s="47">
        <v>3</v>
      </c>
      <c r="F11" s="47">
        <v>5</v>
      </c>
      <c r="G11" s="47">
        <v>800</v>
      </c>
      <c r="H11" s="60"/>
      <c r="I11" s="61">
        <v>42760</v>
      </c>
      <c r="J11" s="49">
        <f>Table11[[#This Row],[Date plantation]]-Table11[[#This Row],[Date semis]]</f>
        <v>0</v>
      </c>
      <c r="K11" s="61">
        <v>42760</v>
      </c>
      <c r="L11" s="49">
        <f t="shared" si="1"/>
        <v>118</v>
      </c>
      <c r="M11" s="116">
        <v>42878</v>
      </c>
      <c r="N11" s="116" t="s">
        <v>33</v>
      </c>
      <c r="O11" s="97"/>
      <c r="P11" s="97"/>
      <c r="Q11" s="97"/>
      <c r="R11" s="97"/>
      <c r="S11" s="97"/>
      <c r="T11" s="97"/>
      <c r="U11" s="97"/>
      <c r="V11" s="97"/>
      <c r="W11" s="97">
        <v>10</v>
      </c>
      <c r="X11" s="97">
        <v>10</v>
      </c>
      <c r="Y11" s="97">
        <f>10+4+2.5</f>
        <v>16.5</v>
      </c>
      <c r="Z11" s="97">
        <f>5.5+3</f>
        <v>8.5</v>
      </c>
      <c r="AA11" s="97">
        <v>3</v>
      </c>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47"/>
      <c r="BC11" s="48">
        <v>42905</v>
      </c>
      <c r="BD11" s="49">
        <f t="shared" si="0"/>
        <v>27</v>
      </c>
      <c r="BE11" s="49">
        <f>SUM(Table11[[#This Row],[S13]:[S52]])</f>
        <v>48</v>
      </c>
      <c r="BF11" s="49">
        <v>8</v>
      </c>
      <c r="BG11" s="49">
        <v>50</v>
      </c>
      <c r="BH11" s="49">
        <f>Table11[[#This Row],[Quantité récolté]]*Table11[[#This Row],[Prix de vente Moy.]]/Table11[[#This Row],[Surface cultivée (m²)]]</f>
        <v>7.68</v>
      </c>
      <c r="BI11" s="51"/>
      <c r="BJ11" s="49"/>
      <c r="BK11" s="49"/>
      <c r="BL11" s="47"/>
      <c r="BM11" s="47"/>
      <c r="BN11" s="47"/>
      <c r="BO11" s="47"/>
      <c r="BP11" s="47"/>
      <c r="BQ11" s="47"/>
      <c r="BR11" s="47"/>
      <c r="BS11" s="47"/>
    </row>
    <row r="12" spans="1:71" s="59" customFormat="1" ht="12.75" customHeight="1">
      <c r="A12" s="47" t="s">
        <v>735</v>
      </c>
      <c r="B12" s="59" t="s">
        <v>568</v>
      </c>
      <c r="C12" s="47" t="s">
        <v>712</v>
      </c>
      <c r="D12" s="47"/>
      <c r="E12" s="47"/>
      <c r="F12" s="47"/>
      <c r="G12" s="47"/>
      <c r="H12" s="60">
        <v>1000</v>
      </c>
      <c r="I12" s="61">
        <v>42761</v>
      </c>
      <c r="J12" s="49">
        <f>Table11[[#This Row],[Date plantation]]-Table11[[#This Row],[Date semis]]</f>
        <v>22</v>
      </c>
      <c r="K12" s="61">
        <v>42783</v>
      </c>
      <c r="L12" s="49">
        <f t="shared" si="1"/>
        <v>62</v>
      </c>
      <c r="M12" s="116">
        <v>42823</v>
      </c>
      <c r="N12" s="116" t="s">
        <v>33</v>
      </c>
      <c r="O12" s="97">
        <v>4</v>
      </c>
      <c r="P12" s="97">
        <v>4.5</v>
      </c>
      <c r="Q12" s="97">
        <v>10</v>
      </c>
      <c r="R12" s="97">
        <v>9</v>
      </c>
      <c r="S12" s="97">
        <v>15</v>
      </c>
      <c r="T12" s="97">
        <v>6</v>
      </c>
      <c r="U12" s="97">
        <v>1</v>
      </c>
      <c r="V12" s="97">
        <f>8+2+7+1</f>
        <v>18</v>
      </c>
      <c r="W12" s="97">
        <v>5</v>
      </c>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47"/>
      <c r="BC12" s="48">
        <v>42877</v>
      </c>
      <c r="BD12" s="49">
        <f t="shared" si="0"/>
        <v>54</v>
      </c>
      <c r="BE12" s="49">
        <f>SUM(Table11[[#This Row],[S13]:[S52]])</f>
        <v>72.5</v>
      </c>
      <c r="BF12" s="49">
        <v>8</v>
      </c>
      <c r="BG12" s="49">
        <v>20</v>
      </c>
      <c r="BH12" s="49">
        <f>Table11[[#This Row],[Quantité récolté]]*Table11[[#This Row],[Prix de vente Moy.]]/Table11[[#This Row],[Surface cultivée (m²)]]</f>
        <v>29</v>
      </c>
      <c r="BI12" s="51"/>
      <c r="BJ12" s="49"/>
      <c r="BK12" s="49"/>
      <c r="BL12" s="47"/>
      <c r="BM12" s="47"/>
      <c r="BN12" s="47"/>
      <c r="BO12" s="47"/>
      <c r="BP12" s="47"/>
      <c r="BQ12" s="47"/>
      <c r="BR12" s="47"/>
      <c r="BS12" s="47"/>
    </row>
    <row r="13" spans="1:71" s="59" customFormat="1" ht="12.75" customHeight="1">
      <c r="A13" s="47" t="s">
        <v>742</v>
      </c>
      <c r="B13" s="59" t="s">
        <v>713</v>
      </c>
      <c r="C13" s="47" t="s">
        <v>714</v>
      </c>
      <c r="D13" s="47">
        <v>22</v>
      </c>
      <c r="E13" s="47">
        <v>1</v>
      </c>
      <c r="F13" s="47">
        <v>30</v>
      </c>
      <c r="G13" s="47">
        <v>0.3</v>
      </c>
      <c r="H13" s="60">
        <v>200</v>
      </c>
      <c r="I13" s="61">
        <v>42761</v>
      </c>
      <c r="J13" s="49">
        <f>Table11[[#This Row],[Date plantation]]-Table11[[#This Row],[Date semis]]</f>
        <v>27</v>
      </c>
      <c r="K13" s="61">
        <v>42788</v>
      </c>
      <c r="L13" s="49">
        <f t="shared" si="1"/>
        <v>99</v>
      </c>
      <c r="M13" s="116">
        <v>42860</v>
      </c>
      <c r="N13" s="116" t="s">
        <v>1902</v>
      </c>
      <c r="O13" s="97"/>
      <c r="P13" s="97"/>
      <c r="Q13" s="97"/>
      <c r="R13" s="97"/>
      <c r="S13" s="97"/>
      <c r="T13" s="97">
        <v>8</v>
      </c>
      <c r="U13" s="97">
        <v>32</v>
      </c>
      <c r="V13" s="97">
        <f>2+24+16</f>
        <v>42</v>
      </c>
      <c r="W13" s="97">
        <v>22</v>
      </c>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47"/>
      <c r="BC13" s="48">
        <v>42877</v>
      </c>
      <c r="BD13" s="49">
        <f t="shared" si="0"/>
        <v>17</v>
      </c>
      <c r="BE13" s="49">
        <f>SUM(Table11[[#This Row],[S13]:[S52]])</f>
        <v>104</v>
      </c>
      <c r="BF13" s="49">
        <v>1</v>
      </c>
      <c r="BG13" s="49">
        <v>10</v>
      </c>
      <c r="BH13" s="49">
        <f>Table11[[#This Row],[Quantité récolté]]*Table11[[#This Row],[Prix de vente Moy.]]/Table11[[#This Row],[Surface cultivée (m²)]]</f>
        <v>10.4</v>
      </c>
      <c r="BI13" s="51"/>
      <c r="BJ13" s="49"/>
      <c r="BK13" s="49"/>
      <c r="BL13" s="47"/>
      <c r="BM13" s="47"/>
      <c r="BN13" s="47"/>
      <c r="BO13" s="47"/>
      <c r="BP13" s="47"/>
      <c r="BQ13" s="47"/>
      <c r="BR13" s="47"/>
      <c r="BS13" s="47"/>
    </row>
    <row r="14" spans="1:71" s="59" customFormat="1" ht="12.75" customHeight="1">
      <c r="A14" s="47" t="s">
        <v>754</v>
      </c>
      <c r="B14" s="59" t="s">
        <v>715</v>
      </c>
      <c r="C14" s="47" t="s">
        <v>716</v>
      </c>
      <c r="D14" s="47">
        <v>11</v>
      </c>
      <c r="E14" s="47">
        <v>4</v>
      </c>
      <c r="F14" s="47">
        <v>30</v>
      </c>
      <c r="G14" s="47">
        <v>0.2</v>
      </c>
      <c r="H14" s="60">
        <v>100</v>
      </c>
      <c r="I14" s="61">
        <v>42761</v>
      </c>
      <c r="J14" s="49">
        <f>Table11[[#This Row],[Date plantation]]-Table11[[#This Row],[Date semis]]</f>
        <v>30</v>
      </c>
      <c r="K14" s="61">
        <v>42791</v>
      </c>
      <c r="L14" s="49">
        <f t="shared" si="1"/>
        <v>95</v>
      </c>
      <c r="M14" s="116">
        <v>42856</v>
      </c>
      <c r="N14" s="116" t="s">
        <v>1902</v>
      </c>
      <c r="O14" s="97"/>
      <c r="P14" s="97"/>
      <c r="Q14" s="97"/>
      <c r="R14" s="97"/>
      <c r="S14" s="97"/>
      <c r="T14" s="97">
        <v>12</v>
      </c>
      <c r="U14" s="97">
        <v>18</v>
      </c>
      <c r="V14" s="97">
        <v>58</v>
      </c>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47"/>
      <c r="BC14" s="48">
        <v>42870</v>
      </c>
      <c r="BD14" s="49">
        <f t="shared" si="0"/>
        <v>14</v>
      </c>
      <c r="BE14" s="49">
        <f>SUM(Table11[[#This Row],[S13]:[S52]])</f>
        <v>88</v>
      </c>
      <c r="BF14" s="49">
        <v>1</v>
      </c>
      <c r="BG14" s="49">
        <v>10</v>
      </c>
      <c r="BH14" s="49">
        <f>Table11[[#This Row],[Quantité récolté]]*Table11[[#This Row],[Prix de vente Moy.]]/Table11[[#This Row],[Surface cultivée (m²)]]</f>
        <v>8.8000000000000007</v>
      </c>
      <c r="BI14" s="51"/>
      <c r="BJ14" s="49"/>
      <c r="BK14" s="49"/>
      <c r="BL14" s="47"/>
      <c r="BM14" s="47"/>
      <c r="BN14" s="47"/>
      <c r="BO14" s="47"/>
      <c r="BP14" s="47"/>
      <c r="BQ14" s="47"/>
      <c r="BR14" s="47"/>
      <c r="BS14" s="47"/>
    </row>
    <row r="15" spans="1:71" s="59" customFormat="1" ht="12.75" customHeight="1">
      <c r="A15" s="47" t="s">
        <v>861</v>
      </c>
      <c r="B15" s="59" t="s">
        <v>717</v>
      </c>
      <c r="C15" s="47" t="s">
        <v>718</v>
      </c>
      <c r="D15" s="47">
        <v>22</v>
      </c>
      <c r="E15" s="47">
        <v>2</v>
      </c>
      <c r="F15" s="47">
        <v>25</v>
      </c>
      <c r="G15" s="47">
        <v>0.6</v>
      </c>
      <c r="H15" s="60">
        <v>400</v>
      </c>
      <c r="I15" s="61">
        <v>42761</v>
      </c>
      <c r="J15" s="49">
        <f>Table11[[#This Row],[Date plantation]]-Table11[[#This Row],[Date semis]]</f>
        <v>27</v>
      </c>
      <c r="K15" s="61">
        <v>42788</v>
      </c>
      <c r="L15" s="49">
        <f t="shared" si="1"/>
        <v>95</v>
      </c>
      <c r="M15" s="116">
        <v>42856</v>
      </c>
      <c r="N15" s="116" t="s">
        <v>1902</v>
      </c>
      <c r="O15" s="97"/>
      <c r="P15" s="97"/>
      <c r="Q15" s="97"/>
      <c r="R15" s="97"/>
      <c r="S15" s="97"/>
      <c r="T15" s="97">
        <v>22</v>
      </c>
      <c r="U15" s="97">
        <v>10</v>
      </c>
      <c r="V15" s="97">
        <v>60</v>
      </c>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47"/>
      <c r="BC15" s="48">
        <v>42870</v>
      </c>
      <c r="BD15" s="49">
        <f t="shared" si="0"/>
        <v>14</v>
      </c>
      <c r="BE15" s="49">
        <f>SUM(Table11[[#This Row],[S13]:[S52]])</f>
        <v>92</v>
      </c>
      <c r="BF15" s="49">
        <v>1</v>
      </c>
      <c r="BG15" s="49">
        <v>20</v>
      </c>
      <c r="BH15" s="49">
        <f>Table11[[#This Row],[Quantité récolté]]*Table11[[#This Row],[Prix de vente Moy.]]/Table11[[#This Row],[Surface cultivée (m²)]]</f>
        <v>4.5999999999999996</v>
      </c>
      <c r="BI15" s="51"/>
      <c r="BJ15" s="49"/>
      <c r="BK15" s="49"/>
      <c r="BL15" s="47"/>
      <c r="BM15" s="47"/>
      <c r="BN15" s="47"/>
      <c r="BO15" s="47"/>
      <c r="BP15" s="47"/>
      <c r="BQ15" s="47"/>
      <c r="BR15" s="47"/>
      <c r="BS15" s="47"/>
    </row>
    <row r="16" spans="1:71" s="59" customFormat="1" ht="12.75" customHeight="1">
      <c r="A16" s="47" t="s">
        <v>758</v>
      </c>
      <c r="B16" s="59" t="s">
        <v>560</v>
      </c>
      <c r="C16" s="47" t="s">
        <v>720</v>
      </c>
      <c r="D16" s="47">
        <v>22</v>
      </c>
      <c r="E16" s="47">
        <v>2</v>
      </c>
      <c r="F16" s="47">
        <v>20</v>
      </c>
      <c r="G16" s="47">
        <v>4</v>
      </c>
      <c r="H16" s="60">
        <v>200</v>
      </c>
      <c r="I16" s="61">
        <v>42766</v>
      </c>
      <c r="J16" s="49">
        <f>Table11[[#This Row],[Date plantation]]-Table11[[#This Row],[Date semis]]</f>
        <v>27</v>
      </c>
      <c r="K16" s="61">
        <v>42793</v>
      </c>
      <c r="L16" s="49">
        <f t="shared" si="1"/>
        <v>90</v>
      </c>
      <c r="M16" s="116">
        <v>42856</v>
      </c>
      <c r="N16" s="116" t="s">
        <v>1903</v>
      </c>
      <c r="O16" s="97"/>
      <c r="P16" s="97"/>
      <c r="Q16" s="97"/>
      <c r="R16" s="97"/>
      <c r="S16" s="97"/>
      <c r="T16" s="97">
        <v>16</v>
      </c>
      <c r="U16" s="97">
        <v>10</v>
      </c>
      <c r="V16" s="97">
        <f>5+5</f>
        <v>10</v>
      </c>
      <c r="W16" s="97">
        <v>10</v>
      </c>
      <c r="X16" s="97">
        <v>7</v>
      </c>
      <c r="Y16" s="97">
        <v>7</v>
      </c>
      <c r="Z16" s="97">
        <v>5</v>
      </c>
      <c r="AA16" s="97">
        <v>7</v>
      </c>
      <c r="AB16" s="97">
        <v>2</v>
      </c>
      <c r="AC16" s="97">
        <v>1</v>
      </c>
      <c r="AD16" s="97"/>
      <c r="AE16" s="97">
        <v>11</v>
      </c>
      <c r="AF16" s="97">
        <v>6</v>
      </c>
      <c r="AG16" s="97">
        <v>6</v>
      </c>
      <c r="AH16" s="97">
        <v>10</v>
      </c>
      <c r="AI16" s="97"/>
      <c r="AJ16" s="97">
        <f>10+15+16</f>
        <v>41</v>
      </c>
      <c r="AK16" s="97">
        <v>4</v>
      </c>
      <c r="AL16" s="97">
        <v>8</v>
      </c>
      <c r="AM16" s="97">
        <v>10</v>
      </c>
      <c r="AN16" s="97"/>
      <c r="AO16" s="97"/>
      <c r="AP16" s="97"/>
      <c r="AQ16" s="97"/>
      <c r="AR16" s="97"/>
      <c r="AS16" s="97"/>
      <c r="AT16" s="97"/>
      <c r="AU16" s="97"/>
      <c r="AV16" s="97"/>
      <c r="AW16" s="97"/>
      <c r="AX16" s="97"/>
      <c r="AY16" s="97"/>
      <c r="AZ16" s="97"/>
      <c r="BA16" s="97"/>
      <c r="BB16" s="47"/>
      <c r="BC16" s="48">
        <v>42989</v>
      </c>
      <c r="BD16" s="49">
        <f t="shared" si="0"/>
        <v>133</v>
      </c>
      <c r="BE16" s="49">
        <f>SUM(Table11[[#This Row],[S13]:[S52]])</f>
        <v>171</v>
      </c>
      <c r="BF16" s="49">
        <v>1.1000000000000001</v>
      </c>
      <c r="BG16" s="49">
        <v>20</v>
      </c>
      <c r="BH16" s="49">
        <f>Table11[[#This Row],[Quantité récolté]]*Table11[[#This Row],[Prix de vente Moy.]]/Table11[[#This Row],[Surface cultivée (m²)]]</f>
        <v>9.4050000000000011</v>
      </c>
      <c r="BI16" s="51"/>
      <c r="BJ16" s="49"/>
      <c r="BK16" s="49"/>
      <c r="BL16" s="47"/>
      <c r="BM16" s="47"/>
      <c r="BN16" s="47"/>
      <c r="BO16" s="47"/>
      <c r="BP16" s="47"/>
      <c r="BQ16" s="47"/>
      <c r="BR16" s="47"/>
      <c r="BS16" s="47"/>
    </row>
    <row r="17" spans="1:71" s="59" customFormat="1" ht="12.75" customHeight="1">
      <c r="A17" s="47" t="s">
        <v>758</v>
      </c>
      <c r="B17" s="59" t="s">
        <v>191</v>
      </c>
      <c r="C17" s="47" t="s">
        <v>770</v>
      </c>
      <c r="D17" s="47">
        <v>22</v>
      </c>
      <c r="E17" s="47">
        <v>3</v>
      </c>
      <c r="F17" s="47">
        <v>20</v>
      </c>
      <c r="G17" s="47">
        <v>1</v>
      </c>
      <c r="H17" s="60">
        <v>300</v>
      </c>
      <c r="I17" s="61">
        <v>42766</v>
      </c>
      <c r="J17" s="49">
        <f>Table11[[#This Row],[Date plantation]]-Table11[[#This Row],[Date semis]]</f>
        <v>27</v>
      </c>
      <c r="K17" s="61">
        <v>42793</v>
      </c>
      <c r="L17" s="49">
        <f t="shared" si="1"/>
        <v>105</v>
      </c>
      <c r="M17" s="116">
        <v>42871</v>
      </c>
      <c r="N17" s="116" t="s">
        <v>1902</v>
      </c>
      <c r="O17" s="97"/>
      <c r="P17" s="97"/>
      <c r="Q17" s="97"/>
      <c r="R17" s="97"/>
      <c r="S17" s="97"/>
      <c r="T17" s="97"/>
      <c r="U17" s="97"/>
      <c r="V17" s="97">
        <f>14+3</f>
        <v>17</v>
      </c>
      <c r="W17" s="97">
        <v>8</v>
      </c>
      <c r="X17" s="97">
        <v>12</v>
      </c>
      <c r="Y17" s="97">
        <v>26</v>
      </c>
      <c r="Z17" s="97">
        <v>11</v>
      </c>
      <c r="AA17" s="97">
        <v>25</v>
      </c>
      <c r="AB17" s="97">
        <v>6</v>
      </c>
      <c r="AC17" s="97">
        <v>2</v>
      </c>
      <c r="AD17" s="97"/>
      <c r="AE17" s="97">
        <v>3</v>
      </c>
      <c r="AF17" s="97"/>
      <c r="AG17" s="97"/>
      <c r="AH17" s="97"/>
      <c r="AI17" s="97"/>
      <c r="AJ17" s="97"/>
      <c r="AK17" s="97"/>
      <c r="AL17" s="97"/>
      <c r="AM17" s="97"/>
      <c r="AN17" s="97"/>
      <c r="AO17" s="97"/>
      <c r="AP17" s="97"/>
      <c r="AQ17" s="97"/>
      <c r="AR17" s="97"/>
      <c r="AS17" s="97"/>
      <c r="AT17" s="97"/>
      <c r="AU17" s="97"/>
      <c r="AV17" s="97"/>
      <c r="AW17" s="97"/>
      <c r="AX17" s="97"/>
      <c r="AY17" s="97"/>
      <c r="AZ17" s="97"/>
      <c r="BA17" s="97"/>
      <c r="BB17" s="47"/>
      <c r="BC17" s="48">
        <v>42933</v>
      </c>
      <c r="BD17" s="49">
        <f t="shared" si="0"/>
        <v>62</v>
      </c>
      <c r="BE17" s="49">
        <f>SUM(Table11[[#This Row],[S13]:[S52]])</f>
        <v>110</v>
      </c>
      <c r="BF17" s="49">
        <v>1</v>
      </c>
      <c r="BG17" s="49">
        <v>20</v>
      </c>
      <c r="BH17" s="49">
        <f>Table11[[#This Row],[Quantité récolté]]*Table11[[#This Row],[Prix de vente Moy.]]/Table11[[#This Row],[Surface cultivée (m²)]]</f>
        <v>5.5</v>
      </c>
      <c r="BI17" s="51"/>
      <c r="BJ17" s="49"/>
      <c r="BK17" s="49"/>
      <c r="BL17" s="47"/>
      <c r="BM17" s="47"/>
      <c r="BN17" s="47"/>
      <c r="BO17" s="47"/>
      <c r="BP17" s="47"/>
      <c r="BQ17" s="47"/>
      <c r="BR17" s="47"/>
      <c r="BS17" s="47"/>
    </row>
    <row r="18" spans="1:71" s="59" customFormat="1" ht="12.75" customHeight="1">
      <c r="A18" s="47" t="s">
        <v>750</v>
      </c>
      <c r="B18" s="59" t="s">
        <v>589</v>
      </c>
      <c r="C18" s="47" t="s">
        <v>761</v>
      </c>
      <c r="D18" s="47"/>
      <c r="E18" s="47"/>
      <c r="F18" s="47"/>
      <c r="G18" s="47">
        <v>2</v>
      </c>
      <c r="H18" s="60">
        <v>200</v>
      </c>
      <c r="I18" s="61">
        <v>42766</v>
      </c>
      <c r="J18" s="49">
        <f>Table11[[#This Row],[Date plantation]]-Table11[[#This Row],[Date semis]]</f>
        <v>26</v>
      </c>
      <c r="K18" s="61">
        <v>42792</v>
      </c>
      <c r="L18" s="49">
        <f t="shared" si="1"/>
        <v>87</v>
      </c>
      <c r="M18" s="116">
        <v>42853</v>
      </c>
      <c r="N18" s="116" t="s">
        <v>33</v>
      </c>
      <c r="O18" s="97"/>
      <c r="P18" s="97"/>
      <c r="Q18" s="97"/>
      <c r="R18" s="97"/>
      <c r="S18" s="97">
        <v>3</v>
      </c>
      <c r="T18" s="97">
        <v>12</v>
      </c>
      <c r="U18" s="97">
        <v>4</v>
      </c>
      <c r="V18" s="97">
        <v>5</v>
      </c>
      <c r="W18" s="97">
        <v>10</v>
      </c>
      <c r="X18" s="97">
        <v>5</v>
      </c>
      <c r="Y18" s="97">
        <v>6</v>
      </c>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47"/>
      <c r="BC18" s="48">
        <v>42891</v>
      </c>
      <c r="BD18" s="49">
        <f t="shared" si="0"/>
        <v>38</v>
      </c>
      <c r="BE18" s="49">
        <f>SUM(Table11[[#This Row],[S13]:[S52]])</f>
        <v>45</v>
      </c>
      <c r="BF18" s="49">
        <v>2.6</v>
      </c>
      <c r="BG18" s="49">
        <v>20</v>
      </c>
      <c r="BH18" s="49">
        <f>Table11[[#This Row],[Quantité récolté]]*Table11[[#This Row],[Prix de vente Moy.]]/Table11[[#This Row],[Surface cultivée (m²)]]</f>
        <v>5.85</v>
      </c>
      <c r="BI18" s="51"/>
      <c r="BJ18" s="49"/>
      <c r="BK18" s="49"/>
      <c r="BL18" s="47"/>
      <c r="BM18" s="47"/>
      <c r="BN18" s="47"/>
      <c r="BO18" s="47"/>
      <c r="BP18" s="47"/>
      <c r="BQ18" s="47"/>
      <c r="BR18" s="47"/>
      <c r="BS18" s="47"/>
    </row>
    <row r="19" spans="1:71" s="59" customFormat="1" ht="12.75" customHeight="1">
      <c r="A19" s="47" t="s">
        <v>751</v>
      </c>
      <c r="B19" s="59" t="s">
        <v>320</v>
      </c>
      <c r="C19" s="47" t="s">
        <v>721</v>
      </c>
      <c r="D19" s="47"/>
      <c r="E19" s="47"/>
      <c r="F19" s="47"/>
      <c r="G19" s="47">
        <v>3</v>
      </c>
      <c r="H19" s="60">
        <v>800</v>
      </c>
      <c r="I19" s="61">
        <v>42766</v>
      </c>
      <c r="J19" s="49">
        <f>Table11[[#This Row],[Date plantation]]-Table11[[#This Row],[Date semis]]</f>
        <v>23</v>
      </c>
      <c r="K19" s="61">
        <v>42789</v>
      </c>
      <c r="L19" s="49">
        <f t="shared" si="1"/>
        <v>77</v>
      </c>
      <c r="M19" s="116">
        <v>42843</v>
      </c>
      <c r="N19" s="116" t="s">
        <v>1904</v>
      </c>
      <c r="O19" s="97"/>
      <c r="P19" s="97"/>
      <c r="Q19" s="97"/>
      <c r="R19" s="97">
        <v>17</v>
      </c>
      <c r="S19" s="97">
        <v>10</v>
      </c>
      <c r="T19" s="97">
        <v>9</v>
      </c>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47"/>
      <c r="BC19" s="48">
        <v>42856</v>
      </c>
      <c r="BD19" s="49">
        <f t="shared" si="0"/>
        <v>13</v>
      </c>
      <c r="BE19" s="49">
        <f>SUM(Table11[[#This Row],[S13]:[S52]])</f>
        <v>36</v>
      </c>
      <c r="BF19" s="49">
        <v>1.9</v>
      </c>
      <c r="BG19" s="49">
        <v>14</v>
      </c>
      <c r="BH19" s="49">
        <f>Table11[[#This Row],[Quantité récolté]]*Table11[[#This Row],[Prix de vente Moy.]]/Table11[[#This Row],[Surface cultivée (m²)]]</f>
        <v>4.8857142857142852</v>
      </c>
      <c r="BI19" s="51"/>
      <c r="BJ19" s="49"/>
      <c r="BK19" s="49"/>
      <c r="BL19" s="47"/>
      <c r="BM19" s="47"/>
      <c r="BN19" s="47"/>
      <c r="BO19" s="47"/>
      <c r="BP19" s="47"/>
      <c r="BQ19" s="47"/>
      <c r="BR19" s="47"/>
      <c r="BS19" s="47"/>
    </row>
    <row r="20" spans="1:71" s="59" customFormat="1" ht="12.75" customHeight="1">
      <c r="A20" s="47" t="s">
        <v>752</v>
      </c>
      <c r="B20" s="59" t="s">
        <v>722</v>
      </c>
      <c r="C20" s="47" t="s">
        <v>723</v>
      </c>
      <c r="D20" s="47"/>
      <c r="E20" s="47"/>
      <c r="F20" s="47"/>
      <c r="G20" s="47">
        <v>7</v>
      </c>
      <c r="H20" s="60">
        <v>800</v>
      </c>
      <c r="I20" s="61">
        <v>42766</v>
      </c>
      <c r="J20" s="49">
        <f>Table11[[#This Row],[Date plantation]]-Table11[[#This Row],[Date semis]]</f>
        <v>23</v>
      </c>
      <c r="K20" s="61">
        <v>42789</v>
      </c>
      <c r="L20" s="49">
        <f t="shared" si="1"/>
        <v>77</v>
      </c>
      <c r="M20" s="116">
        <v>42843</v>
      </c>
      <c r="N20" s="116" t="s">
        <v>33</v>
      </c>
      <c r="O20" s="97"/>
      <c r="P20" s="97"/>
      <c r="Q20" s="97"/>
      <c r="R20" s="97">
        <v>5</v>
      </c>
      <c r="S20" s="97"/>
      <c r="T20" s="97"/>
      <c r="U20" s="97"/>
      <c r="V20" s="97"/>
      <c r="W20" s="97"/>
      <c r="X20" s="97"/>
      <c r="Y20" s="97"/>
      <c r="Z20" s="97"/>
      <c r="AA20" s="97"/>
      <c r="AB20" s="97"/>
      <c r="AC20" s="97"/>
      <c r="AD20" s="97">
        <f>SUM(AC21:AI21)</f>
        <v>64</v>
      </c>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47"/>
      <c r="BC20" s="48">
        <v>42842</v>
      </c>
      <c r="BD20" s="49">
        <f t="shared" si="0"/>
        <v>-1</v>
      </c>
      <c r="BE20" s="49">
        <f>SUM(Table11[[#This Row],[S13]:[S52]])</f>
        <v>69</v>
      </c>
      <c r="BF20" s="49">
        <v>3.5</v>
      </c>
      <c r="BG20" s="49">
        <v>16</v>
      </c>
      <c r="BH20" s="49">
        <f>Table11[[#This Row],[Quantité récolté]]*Table11[[#This Row],[Prix de vente Moy.]]/Table11[[#This Row],[Surface cultivée (m²)]]</f>
        <v>15.09375</v>
      </c>
      <c r="BI20" s="51"/>
      <c r="BJ20" s="49"/>
      <c r="BK20" s="49"/>
      <c r="BL20" s="47"/>
      <c r="BM20" s="47"/>
      <c r="BN20" s="47"/>
      <c r="BO20" s="47"/>
      <c r="BP20" s="47"/>
      <c r="BQ20" s="47"/>
      <c r="BR20" s="47"/>
      <c r="BS20" s="47"/>
    </row>
    <row r="21" spans="1:71" s="59" customFormat="1" ht="12.75" customHeight="1">
      <c r="A21" s="47" t="s">
        <v>765</v>
      </c>
      <c r="B21" s="59" t="s">
        <v>725</v>
      </c>
      <c r="C21" s="47" t="s">
        <v>724</v>
      </c>
      <c r="D21" s="47">
        <v>22</v>
      </c>
      <c r="E21" s="47">
        <v>3</v>
      </c>
      <c r="F21" s="47">
        <v>10</v>
      </c>
      <c r="G21" s="47">
        <v>15</v>
      </c>
      <c r="H21" s="60">
        <v>1000</v>
      </c>
      <c r="I21" s="61">
        <v>42766</v>
      </c>
      <c r="J21" s="49">
        <f>Table11[[#This Row],[Date plantation]]-Table11[[#This Row],[Date semis]]</f>
        <v>36</v>
      </c>
      <c r="K21" s="61">
        <v>42802</v>
      </c>
      <c r="L21" s="49">
        <f t="shared" si="1"/>
        <v>121</v>
      </c>
      <c r="M21" s="116">
        <v>42887</v>
      </c>
      <c r="N21" s="116" t="s">
        <v>32</v>
      </c>
      <c r="O21" s="97"/>
      <c r="P21" s="97"/>
      <c r="Q21" s="97"/>
      <c r="R21" s="97"/>
      <c r="S21" s="97"/>
      <c r="T21" s="97"/>
      <c r="U21" s="97"/>
      <c r="V21" s="97"/>
      <c r="W21" s="97"/>
      <c r="X21" s="97">
        <v>2</v>
      </c>
      <c r="Y21" s="97">
        <v>34</v>
      </c>
      <c r="Z21" s="97">
        <f>12+23+27</f>
        <v>62</v>
      </c>
      <c r="AA21" s="97"/>
      <c r="AB21" s="97"/>
      <c r="AC21" s="97">
        <f>6+20+27</f>
        <v>53</v>
      </c>
      <c r="AD21" s="97">
        <f>6+2</f>
        <v>8</v>
      </c>
      <c r="AE21" s="97">
        <v>3</v>
      </c>
      <c r="AF21" s="97"/>
      <c r="AG21" s="97"/>
      <c r="AH21" s="97"/>
      <c r="AI21" s="97"/>
      <c r="AJ21" s="97"/>
      <c r="AK21" s="97"/>
      <c r="AL21" s="97"/>
      <c r="AM21" s="97"/>
      <c r="AN21" s="97"/>
      <c r="AO21" s="97"/>
      <c r="AP21" s="97"/>
      <c r="AQ21" s="97"/>
      <c r="AR21" s="97"/>
      <c r="AS21" s="97"/>
      <c r="AT21" s="97"/>
      <c r="AU21" s="97"/>
      <c r="AV21" s="97"/>
      <c r="AW21" s="97"/>
      <c r="AX21" s="97"/>
      <c r="AY21" s="97"/>
      <c r="AZ21" s="97"/>
      <c r="BA21" s="97"/>
      <c r="BB21" s="47"/>
      <c r="BC21" s="48">
        <v>42933</v>
      </c>
      <c r="BD21" s="49">
        <f t="shared" si="0"/>
        <v>46</v>
      </c>
      <c r="BE21" s="49">
        <f>SUM(Table11[[#This Row],[S13]:[S52]])</f>
        <v>162</v>
      </c>
      <c r="BF21" s="49">
        <v>1.5</v>
      </c>
      <c r="BG21" s="49">
        <v>20</v>
      </c>
      <c r="BH21" s="49">
        <f>Table11[[#This Row],[Quantité récolté]]*Table11[[#This Row],[Prix de vente Moy.]]/Table11[[#This Row],[Surface cultivée (m²)]]</f>
        <v>12.15</v>
      </c>
      <c r="BI21" s="51"/>
      <c r="BJ21" s="49"/>
      <c r="BK21" s="49"/>
      <c r="BL21" s="47" t="s">
        <v>498</v>
      </c>
      <c r="BM21" s="47"/>
      <c r="BN21" s="47"/>
      <c r="BO21" s="47"/>
      <c r="BP21" s="47"/>
      <c r="BQ21" s="47"/>
      <c r="BR21" s="47"/>
      <c r="BS21" s="47"/>
    </row>
    <row r="22" spans="1:71" s="59" customFormat="1" ht="12.75" customHeight="1">
      <c r="A22" s="47" t="s">
        <v>763</v>
      </c>
      <c r="B22" s="59" t="s">
        <v>546</v>
      </c>
      <c r="C22" s="47" t="s">
        <v>710</v>
      </c>
      <c r="D22" s="47">
        <v>66</v>
      </c>
      <c r="E22" s="47">
        <v>4</v>
      </c>
      <c r="F22" s="47">
        <v>20</v>
      </c>
      <c r="G22" s="47">
        <v>12</v>
      </c>
      <c r="H22" s="60">
        <v>1200</v>
      </c>
      <c r="I22" s="61">
        <v>42775</v>
      </c>
      <c r="J22" s="49">
        <f>Table11[[#This Row],[Date plantation]]-Table11[[#This Row],[Date semis]]</f>
        <v>21</v>
      </c>
      <c r="K22" s="61">
        <v>42796</v>
      </c>
      <c r="L22" s="49">
        <f t="shared" si="1"/>
        <v>61</v>
      </c>
      <c r="M22" s="116">
        <v>42836</v>
      </c>
      <c r="N22" s="116" t="s">
        <v>33</v>
      </c>
      <c r="O22" s="97"/>
      <c r="P22" s="97"/>
      <c r="Q22" s="97">
        <v>15</v>
      </c>
      <c r="R22" s="97">
        <v>16</v>
      </c>
      <c r="S22" s="97">
        <v>15</v>
      </c>
      <c r="T22" s="97">
        <v>26</v>
      </c>
      <c r="U22" s="97">
        <f>5+12.6+6</f>
        <v>23.6</v>
      </c>
      <c r="V22" s="97">
        <f>4+4</f>
        <v>8</v>
      </c>
      <c r="W22" s="97">
        <v>3</v>
      </c>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47"/>
      <c r="BC22" s="48">
        <v>42877</v>
      </c>
      <c r="BD22" s="49">
        <f t="shared" si="0"/>
        <v>41</v>
      </c>
      <c r="BE22" s="49">
        <f>SUM(Table11[[#This Row],[S13]:[S52]])</f>
        <v>106.6</v>
      </c>
      <c r="BF22" s="49">
        <v>3.5</v>
      </c>
      <c r="BG22" s="49">
        <v>40</v>
      </c>
      <c r="BH22" s="49">
        <f>Table11[[#This Row],[Quantité récolté]]*Table11[[#This Row],[Prix de vente Moy.]]/Table11[[#This Row],[Surface cultivée (m²)]]</f>
        <v>9.3274999999999988</v>
      </c>
      <c r="BI22" s="51"/>
      <c r="BJ22" s="49"/>
      <c r="BK22" s="49"/>
      <c r="BL22" s="47"/>
      <c r="BM22" s="47"/>
      <c r="BN22" s="47"/>
      <c r="BO22" s="47"/>
      <c r="BP22" s="47"/>
      <c r="BQ22" s="47"/>
      <c r="BR22" s="47"/>
      <c r="BS22" s="47"/>
    </row>
    <row r="23" spans="1:71" s="59" customFormat="1" ht="12.75" customHeight="1">
      <c r="A23" s="47" t="s">
        <v>766</v>
      </c>
      <c r="B23" s="59" t="s">
        <v>561</v>
      </c>
      <c r="C23" s="47" t="s">
        <v>726</v>
      </c>
      <c r="D23" s="47">
        <v>22</v>
      </c>
      <c r="E23" s="47">
        <v>5</v>
      </c>
      <c r="F23" s="47">
        <v>10</v>
      </c>
      <c r="G23" s="47">
        <v>10</v>
      </c>
      <c r="H23" s="60">
        <v>1000</v>
      </c>
      <c r="I23" s="61">
        <v>42775</v>
      </c>
      <c r="J23" s="49">
        <f>Table11[[#This Row],[Date plantation]]-Table11[[#This Row],[Date semis]]</f>
        <v>28</v>
      </c>
      <c r="K23" s="61">
        <v>42803</v>
      </c>
      <c r="L23" s="49">
        <f t="shared" si="1"/>
        <v>89</v>
      </c>
      <c r="M23" s="116">
        <v>42864</v>
      </c>
      <c r="N23" s="116" t="s">
        <v>32</v>
      </c>
      <c r="O23" s="97"/>
      <c r="P23" s="97"/>
      <c r="Q23" s="97"/>
      <c r="R23" s="97"/>
      <c r="S23" s="97"/>
      <c r="T23" s="97"/>
      <c r="U23" s="97">
        <v>8</v>
      </c>
      <c r="V23" s="97">
        <f>10+15</f>
        <v>25</v>
      </c>
      <c r="W23" s="97">
        <v>25</v>
      </c>
      <c r="X23" s="97">
        <v>22</v>
      </c>
      <c r="Y23" s="97">
        <v>15</v>
      </c>
      <c r="Z23" s="97">
        <v>3</v>
      </c>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47"/>
      <c r="BC23" s="48">
        <v>42898</v>
      </c>
      <c r="BD23" s="49">
        <f t="shared" si="0"/>
        <v>34</v>
      </c>
      <c r="BE23" s="49">
        <f>SUM(Table11[[#This Row],[S13]:[S52]])</f>
        <v>98</v>
      </c>
      <c r="BF23" s="49">
        <v>2.2000000000000002</v>
      </c>
      <c r="BG23" s="49">
        <v>20</v>
      </c>
      <c r="BH23" s="49">
        <f>Table11[[#This Row],[Quantité récolté]]*Table11[[#This Row],[Prix de vente Moy.]]/Table11[[#This Row],[Surface cultivée (m²)]]</f>
        <v>10.780000000000001</v>
      </c>
      <c r="BI23" s="51"/>
      <c r="BJ23" s="49"/>
      <c r="BK23" s="49"/>
      <c r="BL23" s="47"/>
      <c r="BM23" s="47"/>
      <c r="BN23" s="47"/>
      <c r="BO23" s="47"/>
      <c r="BP23" s="47"/>
      <c r="BQ23" s="47"/>
      <c r="BR23" s="47"/>
      <c r="BS23" s="47"/>
    </row>
    <row r="24" spans="1:71" s="59" customFormat="1" ht="12.75" customHeight="1">
      <c r="A24" s="47" t="s">
        <v>764</v>
      </c>
      <c r="B24" s="59" t="s">
        <v>567</v>
      </c>
      <c r="C24" s="47" t="s">
        <v>727</v>
      </c>
      <c r="D24" s="47"/>
      <c r="E24" s="47"/>
      <c r="F24" s="47"/>
      <c r="G24" s="47"/>
      <c r="H24" s="60">
        <v>1000</v>
      </c>
      <c r="I24" s="61">
        <v>42776</v>
      </c>
      <c r="J24" s="49">
        <f>Table11[[#This Row],[Date plantation]]-Table11[[#This Row],[Date semis]]</f>
        <v>21</v>
      </c>
      <c r="K24" s="61">
        <v>42797</v>
      </c>
      <c r="L24" s="49">
        <f t="shared" si="1"/>
        <v>47</v>
      </c>
      <c r="M24" s="116">
        <v>42823</v>
      </c>
      <c r="N24" s="116" t="s">
        <v>33</v>
      </c>
      <c r="O24" s="97">
        <v>2</v>
      </c>
      <c r="P24" s="97">
        <v>3</v>
      </c>
      <c r="Q24" s="97">
        <v>10.5</v>
      </c>
      <c r="R24" s="97">
        <v>13.5</v>
      </c>
      <c r="S24" s="97">
        <v>7</v>
      </c>
      <c r="T24" s="97">
        <v>10</v>
      </c>
      <c r="U24" s="97">
        <v>11</v>
      </c>
      <c r="V24" s="97">
        <f>4+3</f>
        <v>7</v>
      </c>
      <c r="W24" s="97">
        <v>5</v>
      </c>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47"/>
      <c r="BC24" s="48">
        <v>42877</v>
      </c>
      <c r="BD24" s="49">
        <f t="shared" si="0"/>
        <v>54</v>
      </c>
      <c r="BE24" s="49">
        <f>SUM(Table11[[#This Row],[S13]:[S52]])</f>
        <v>69</v>
      </c>
      <c r="BF24" s="49">
        <v>8</v>
      </c>
      <c r="BG24" s="49">
        <v>20</v>
      </c>
      <c r="BH24" s="49">
        <f>Table11[[#This Row],[Quantité récolté]]*Table11[[#This Row],[Prix de vente Moy.]]/Table11[[#This Row],[Surface cultivée (m²)]]</f>
        <v>27.6</v>
      </c>
      <c r="BI24" s="51"/>
      <c r="BJ24" s="49"/>
      <c r="BK24" s="49"/>
      <c r="BL24" s="47"/>
      <c r="BM24" s="47"/>
      <c r="BN24" s="47"/>
      <c r="BO24" s="47"/>
      <c r="BP24" s="47"/>
      <c r="BQ24" s="47"/>
      <c r="BR24" s="47"/>
      <c r="BS24" s="47"/>
    </row>
    <row r="25" spans="1:71" s="59" customFormat="1" ht="12.75" customHeight="1">
      <c r="A25" s="47" t="s">
        <v>768</v>
      </c>
      <c r="B25" s="59" t="s">
        <v>559</v>
      </c>
      <c r="C25" s="47" t="s">
        <v>728</v>
      </c>
      <c r="D25" s="47"/>
      <c r="E25" s="47"/>
      <c r="F25" s="47"/>
      <c r="G25" s="47">
        <v>12</v>
      </c>
      <c r="H25" s="60">
        <v>700</v>
      </c>
      <c r="I25" s="61">
        <v>42776</v>
      </c>
      <c r="J25" s="49">
        <f>Table11[[#This Row],[Date plantation]]-Table11[[#This Row],[Date semis]]</f>
        <v>28</v>
      </c>
      <c r="K25" s="61">
        <v>42804</v>
      </c>
      <c r="L25" s="49">
        <f t="shared" si="1"/>
        <v>80</v>
      </c>
      <c r="M25" s="116">
        <v>42856</v>
      </c>
      <c r="N25" s="116" t="s">
        <v>32</v>
      </c>
      <c r="O25" s="97"/>
      <c r="P25" s="97"/>
      <c r="Q25" s="97"/>
      <c r="R25" s="97"/>
      <c r="S25" s="97"/>
      <c r="T25" s="97">
        <v>15</v>
      </c>
      <c r="U25" s="97">
        <v>4</v>
      </c>
      <c r="V25" s="97">
        <f>3+8+5</f>
        <v>16</v>
      </c>
      <c r="W25" s="97">
        <v>9</v>
      </c>
      <c r="X25" s="97">
        <v>24</v>
      </c>
      <c r="Y25" s="97">
        <f>2+10+7</f>
        <v>19</v>
      </c>
      <c r="Z25" s="97">
        <f>6+5+10</f>
        <v>21</v>
      </c>
      <c r="AA25" s="97">
        <v>10</v>
      </c>
      <c r="AB25" s="97">
        <v>2</v>
      </c>
      <c r="AC25" s="97">
        <v>3</v>
      </c>
      <c r="AD25" s="97">
        <v>3</v>
      </c>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47"/>
      <c r="BC25" s="48">
        <v>42926</v>
      </c>
      <c r="BD25" s="49">
        <f t="shared" si="0"/>
        <v>70</v>
      </c>
      <c r="BE25" s="49">
        <f>SUM(Table11[[#This Row],[S13]:[S52]])</f>
        <v>126</v>
      </c>
      <c r="BF25" s="49">
        <v>1.9</v>
      </c>
      <c r="BG25" s="49">
        <v>40</v>
      </c>
      <c r="BH25" s="49">
        <f>Table11[[#This Row],[Quantité récolté]]*Table11[[#This Row],[Prix de vente Moy.]]/Table11[[#This Row],[Surface cultivée (m²)]]</f>
        <v>5.9849999999999994</v>
      </c>
      <c r="BI25" s="51"/>
      <c r="BJ25" s="49"/>
      <c r="BK25" s="49"/>
      <c r="BL25" s="47"/>
      <c r="BM25" s="47"/>
      <c r="BN25" s="47"/>
      <c r="BO25" s="47"/>
      <c r="BP25" s="47"/>
      <c r="BQ25" s="47"/>
      <c r="BR25" s="47"/>
      <c r="BS25" s="47"/>
    </row>
    <row r="26" spans="1:71" s="59" customFormat="1" ht="12.75" customHeight="1">
      <c r="A26" s="47" t="s">
        <v>833</v>
      </c>
      <c r="B26" s="59" t="s">
        <v>554</v>
      </c>
      <c r="C26" s="47" t="s">
        <v>716</v>
      </c>
      <c r="D26" s="47">
        <v>11</v>
      </c>
      <c r="E26" s="47"/>
      <c r="F26" s="47"/>
      <c r="G26" s="47">
        <v>0.2</v>
      </c>
      <c r="H26" s="60">
        <v>100</v>
      </c>
      <c r="I26" s="61">
        <v>42776</v>
      </c>
      <c r="J26" s="49">
        <f>Table11[[#This Row],[Date plantation]]-Table11[[#This Row],[Date semis]]</f>
        <v>26</v>
      </c>
      <c r="K26" s="61">
        <v>42802</v>
      </c>
      <c r="L26" s="49">
        <f t="shared" si="1"/>
        <v>80</v>
      </c>
      <c r="M26" s="116">
        <v>42856</v>
      </c>
      <c r="N26" s="116" t="s">
        <v>1902</v>
      </c>
      <c r="O26" s="97"/>
      <c r="P26" s="97"/>
      <c r="Q26" s="97"/>
      <c r="R26" s="97"/>
      <c r="S26" s="97"/>
      <c r="T26" s="97">
        <v>15</v>
      </c>
      <c r="U26" s="97">
        <v>28</v>
      </c>
      <c r="V26" s="97">
        <f>12+24+6</f>
        <v>42</v>
      </c>
      <c r="W26" s="97">
        <v>32</v>
      </c>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47"/>
      <c r="BC26" s="48">
        <v>42877</v>
      </c>
      <c r="BD26" s="49">
        <f t="shared" si="0"/>
        <v>21</v>
      </c>
      <c r="BE26" s="49">
        <f>SUM(Table11[[#This Row],[S13]:[S52]])</f>
        <v>117</v>
      </c>
      <c r="BF26" s="49">
        <v>1</v>
      </c>
      <c r="BG26" s="49">
        <v>20</v>
      </c>
      <c r="BH26" s="49">
        <f>Table11[[#This Row],[Quantité récolté]]*Table11[[#This Row],[Prix de vente Moy.]]/Table11[[#This Row],[Surface cultivée (m²)]]</f>
        <v>5.85</v>
      </c>
      <c r="BI26" s="51"/>
      <c r="BJ26" s="49"/>
      <c r="BK26" s="49"/>
      <c r="BL26" s="47"/>
      <c r="BM26" s="47"/>
      <c r="BN26" s="47"/>
      <c r="BO26" s="47"/>
      <c r="BP26" s="47"/>
      <c r="BQ26" s="47"/>
      <c r="BR26" s="47"/>
      <c r="BS26" s="47"/>
    </row>
    <row r="27" spans="1:71" s="59" customFormat="1" ht="12.75" customHeight="1">
      <c r="A27" s="47" t="s">
        <v>767</v>
      </c>
      <c r="B27" s="59" t="s">
        <v>729</v>
      </c>
      <c r="C27" s="47" t="s">
        <v>730</v>
      </c>
      <c r="D27" s="47">
        <v>11</v>
      </c>
      <c r="E27" s="47"/>
      <c r="F27" s="47"/>
      <c r="G27" s="47">
        <v>0.2</v>
      </c>
      <c r="H27" s="60">
        <v>100</v>
      </c>
      <c r="I27" s="61">
        <v>42776</v>
      </c>
      <c r="J27" s="49">
        <f>Table11[[#This Row],[Date plantation]]-Table11[[#This Row],[Date semis]]</f>
        <v>26</v>
      </c>
      <c r="K27" s="61">
        <v>42802</v>
      </c>
      <c r="L27" s="49">
        <f t="shared" si="1"/>
        <v>80</v>
      </c>
      <c r="M27" s="116">
        <v>42856</v>
      </c>
      <c r="N27" s="116" t="s">
        <v>1902</v>
      </c>
      <c r="O27" s="97"/>
      <c r="P27" s="97"/>
      <c r="Q27" s="97"/>
      <c r="R27" s="97"/>
      <c r="S27" s="97"/>
      <c r="T27" s="97">
        <v>14</v>
      </c>
      <c r="U27" s="97">
        <v>24</v>
      </c>
      <c r="V27" s="97">
        <f>12+3</f>
        <v>15</v>
      </c>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47"/>
      <c r="BC27" s="48">
        <v>42870</v>
      </c>
      <c r="BD27" s="49">
        <f t="shared" si="0"/>
        <v>14</v>
      </c>
      <c r="BE27" s="49">
        <f>SUM(Table11[[#This Row],[S13]:[S52]])</f>
        <v>53</v>
      </c>
      <c r="BF27" s="49">
        <v>1</v>
      </c>
      <c r="BG27" s="49">
        <v>5</v>
      </c>
      <c r="BH27" s="49">
        <f>Table11[[#This Row],[Quantité récolté]]*Table11[[#This Row],[Prix de vente Moy.]]/Table11[[#This Row],[Surface cultivée (m²)]]</f>
        <v>10.6</v>
      </c>
      <c r="BI27" s="51"/>
      <c r="BJ27" s="49"/>
      <c r="BK27" s="49"/>
      <c r="BL27" s="47"/>
      <c r="BM27" s="47"/>
      <c r="BN27" s="47"/>
      <c r="BO27" s="47"/>
      <c r="BP27" s="47"/>
      <c r="BQ27" s="47"/>
      <c r="BR27" s="47"/>
      <c r="BS27" s="47"/>
    </row>
    <row r="28" spans="1:71" s="59" customFormat="1" ht="12.75" customHeight="1">
      <c r="A28" s="47" t="s">
        <v>737</v>
      </c>
      <c r="B28" s="59" t="s">
        <v>556</v>
      </c>
      <c r="C28" s="47" t="s">
        <v>738</v>
      </c>
      <c r="D28" s="47">
        <v>22</v>
      </c>
      <c r="E28" s="47">
        <v>5</v>
      </c>
      <c r="F28" s="47">
        <v>5</v>
      </c>
      <c r="G28" s="47">
        <v>15</v>
      </c>
      <c r="H28" s="60"/>
      <c r="I28" s="61">
        <v>42782</v>
      </c>
      <c r="J28" s="49">
        <f>Table11[[#This Row],[Date plantation]]-Table11[[#This Row],[Date semis]]</f>
        <v>0</v>
      </c>
      <c r="K28" s="61">
        <v>42782</v>
      </c>
      <c r="L28" s="49">
        <f t="shared" si="1"/>
        <v>113</v>
      </c>
      <c r="M28" s="116">
        <v>42895</v>
      </c>
      <c r="N28" s="116" t="s">
        <v>32</v>
      </c>
      <c r="O28" s="97"/>
      <c r="P28" s="97"/>
      <c r="Q28" s="97"/>
      <c r="R28" s="97"/>
      <c r="S28" s="97"/>
      <c r="T28" s="97"/>
      <c r="U28" s="97"/>
      <c r="V28" s="97"/>
      <c r="W28" s="97"/>
      <c r="X28" s="97"/>
      <c r="Y28" s="97">
        <v>23</v>
      </c>
      <c r="Z28" s="97">
        <f>18+10</f>
        <v>28</v>
      </c>
      <c r="AA28" s="97">
        <v>10</v>
      </c>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47"/>
      <c r="BC28" s="48">
        <v>42905</v>
      </c>
      <c r="BD28" s="49">
        <f t="shared" si="0"/>
        <v>10</v>
      </c>
      <c r="BE28" s="49">
        <f>SUM(Table11[[#This Row],[S13]:[S52]])</f>
        <v>61</v>
      </c>
      <c r="BF28" s="49">
        <v>2.4</v>
      </c>
      <c r="BG28" s="49">
        <v>20</v>
      </c>
      <c r="BH28" s="49">
        <f>Table11[[#This Row],[Quantité récolté]]*Table11[[#This Row],[Prix de vente Moy.]]/Table11[[#This Row],[Surface cultivée (m²)]]</f>
        <v>7.32</v>
      </c>
      <c r="BI28" s="51"/>
      <c r="BJ28" s="49"/>
      <c r="BK28" s="49"/>
      <c r="BL28" s="47"/>
      <c r="BM28" s="47"/>
      <c r="BN28" s="47"/>
      <c r="BO28" s="47"/>
      <c r="BP28" s="47"/>
      <c r="BQ28" s="47"/>
      <c r="BR28" s="47"/>
      <c r="BS28" s="47"/>
    </row>
    <row r="29" spans="1:71" s="59" customFormat="1" ht="12.75" customHeight="1">
      <c r="A29" s="47" t="s">
        <v>737</v>
      </c>
      <c r="B29" s="59" t="s">
        <v>739</v>
      </c>
      <c r="C29" s="47" t="s">
        <v>740</v>
      </c>
      <c r="D29" s="47">
        <v>22</v>
      </c>
      <c r="E29" s="47">
        <v>4</v>
      </c>
      <c r="F29" s="47">
        <v>5</v>
      </c>
      <c r="G29" s="47">
        <v>30</v>
      </c>
      <c r="H29" s="60"/>
      <c r="I29" s="61">
        <v>42782</v>
      </c>
      <c r="J29" s="49">
        <f>Table11[[#This Row],[Date plantation]]-Table11[[#This Row],[Date semis]]</f>
        <v>0</v>
      </c>
      <c r="K29" s="61">
        <v>42782</v>
      </c>
      <c r="L29" s="49">
        <f t="shared" si="1"/>
        <v>41</v>
      </c>
      <c r="M29" s="116">
        <v>42823</v>
      </c>
      <c r="N29" s="116" t="s">
        <v>32</v>
      </c>
      <c r="O29" s="97">
        <v>5</v>
      </c>
      <c r="P29" s="97">
        <v>16</v>
      </c>
      <c r="Q29" s="97">
        <v>11</v>
      </c>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47"/>
      <c r="BC29" s="48">
        <v>42835</v>
      </c>
      <c r="BD29" s="49">
        <f t="shared" si="0"/>
        <v>12</v>
      </c>
      <c r="BE29" s="49">
        <f>SUM(Table11[[#This Row],[S13]:[S52]])</f>
        <v>32</v>
      </c>
      <c r="BF29" s="49">
        <v>1.1000000000000001</v>
      </c>
      <c r="BG29" s="49">
        <v>20</v>
      </c>
      <c r="BH29" s="49">
        <f>Table11[[#This Row],[Quantité récolté]]*Table11[[#This Row],[Prix de vente Moy.]]/Table11[[#This Row],[Surface cultivée (m²)]]</f>
        <v>1.7600000000000002</v>
      </c>
      <c r="BI29" s="51"/>
      <c r="BJ29" s="49"/>
      <c r="BK29" s="49"/>
      <c r="BL29" s="47"/>
      <c r="BM29" s="47"/>
      <c r="BN29" s="47"/>
      <c r="BO29" s="47"/>
      <c r="BP29" s="47"/>
      <c r="BQ29" s="47"/>
      <c r="BR29" s="47"/>
      <c r="BS29" s="47"/>
    </row>
    <row r="30" spans="1:71" s="59" customFormat="1" ht="12.75" customHeight="1">
      <c r="A30" s="47" t="s">
        <v>813</v>
      </c>
      <c r="B30" s="59" t="s">
        <v>743</v>
      </c>
      <c r="C30" s="47" t="s">
        <v>744</v>
      </c>
      <c r="D30" s="47"/>
      <c r="E30" s="47"/>
      <c r="F30" s="47"/>
      <c r="G30" s="47"/>
      <c r="H30" s="60">
        <v>100</v>
      </c>
      <c r="I30" s="61">
        <v>42787</v>
      </c>
      <c r="J30" s="49">
        <f>Table11[[#This Row],[Date plantation]]-Table11[[#This Row],[Date semis]]</f>
        <v>71</v>
      </c>
      <c r="K30" s="61">
        <v>42858</v>
      </c>
      <c r="L30" s="49">
        <f t="shared" si="1"/>
        <v>140</v>
      </c>
      <c r="M30" s="116">
        <v>42927</v>
      </c>
      <c r="N30" s="116" t="s">
        <v>33</v>
      </c>
      <c r="O30" s="97"/>
      <c r="P30" s="97"/>
      <c r="Q30" s="97"/>
      <c r="R30" s="97"/>
      <c r="S30" s="97"/>
      <c r="T30" s="97"/>
      <c r="U30" s="97"/>
      <c r="V30" s="97"/>
      <c r="W30" s="97"/>
      <c r="X30" s="97"/>
      <c r="Y30" s="97"/>
      <c r="Z30" s="97"/>
      <c r="AA30" s="97"/>
      <c r="AB30" s="97"/>
      <c r="AC30" s="97"/>
      <c r="AD30" s="97">
        <v>3.5</v>
      </c>
      <c r="AE30" s="97">
        <v>9</v>
      </c>
      <c r="AF30" s="97">
        <v>25</v>
      </c>
      <c r="AG30" s="97">
        <v>25</v>
      </c>
      <c r="AH30" s="97">
        <v>29</v>
      </c>
      <c r="AI30" s="97">
        <v>19</v>
      </c>
      <c r="AJ30" s="97">
        <v>22</v>
      </c>
      <c r="AK30" s="97">
        <v>11</v>
      </c>
      <c r="AL30" s="97">
        <v>7</v>
      </c>
      <c r="AM30" s="97">
        <v>5</v>
      </c>
      <c r="AN30" s="97">
        <v>3</v>
      </c>
      <c r="AO30" s="97">
        <v>3</v>
      </c>
      <c r="AP30" s="97">
        <v>3</v>
      </c>
      <c r="AQ30" s="97">
        <v>3</v>
      </c>
      <c r="AR30" s="97">
        <v>2</v>
      </c>
      <c r="AS30" s="97">
        <v>3</v>
      </c>
      <c r="AT30" s="97">
        <v>3</v>
      </c>
      <c r="AU30" s="97"/>
      <c r="AV30" s="97"/>
      <c r="AW30" s="97"/>
      <c r="AX30" s="97"/>
      <c r="AY30" s="97"/>
      <c r="AZ30" s="97"/>
      <c r="BA30" s="97"/>
      <c r="BB30" s="47"/>
      <c r="BC30" s="48">
        <v>43038</v>
      </c>
      <c r="BD30" s="49">
        <f t="shared" si="0"/>
        <v>111</v>
      </c>
      <c r="BE30" s="49">
        <f>SUM(Table11[[#This Row],[S13]:[S52]])</f>
        <v>175.5</v>
      </c>
      <c r="BF30" s="49">
        <v>5.2</v>
      </c>
      <c r="BG30" s="49">
        <v>30</v>
      </c>
      <c r="BH30" s="49">
        <f>Table11[[#This Row],[Quantité récolté]]*Table11[[#This Row],[Prix de vente Moy.]]/Table11[[#This Row],[Surface cultivée (m²)]]</f>
        <v>30.42</v>
      </c>
      <c r="BI30" s="51"/>
      <c r="BJ30" s="49"/>
      <c r="BK30" s="49"/>
      <c r="BL30" s="47"/>
      <c r="BM30" s="47"/>
      <c r="BN30" s="47"/>
      <c r="BO30" s="47"/>
      <c r="BP30" s="47"/>
      <c r="BQ30" s="47"/>
      <c r="BR30" s="47"/>
      <c r="BS30" s="47"/>
    </row>
    <row r="31" spans="1:71" s="59" customFormat="1" ht="12.75" customHeight="1">
      <c r="A31" s="47" t="s">
        <v>814</v>
      </c>
      <c r="B31" s="59" t="s">
        <v>582</v>
      </c>
      <c r="C31" s="47" t="s">
        <v>745</v>
      </c>
      <c r="D31" s="47"/>
      <c r="E31" s="47"/>
      <c r="F31" s="47"/>
      <c r="G31" s="47"/>
      <c r="H31" s="60">
        <v>100</v>
      </c>
      <c r="I31" s="61">
        <v>42787</v>
      </c>
      <c r="J31" s="49">
        <f>Table11[[#This Row],[Date plantation]]-Table11[[#This Row],[Date semis]]</f>
        <v>71</v>
      </c>
      <c r="K31" s="61">
        <v>42858</v>
      </c>
      <c r="L31" s="49">
        <f t="shared" si="1"/>
        <v>146</v>
      </c>
      <c r="M31" s="116">
        <v>42933</v>
      </c>
      <c r="N31" s="116" t="s">
        <v>33</v>
      </c>
      <c r="O31" s="97"/>
      <c r="P31" s="97"/>
      <c r="Q31" s="97"/>
      <c r="R31" s="97"/>
      <c r="S31" s="97"/>
      <c r="T31" s="97"/>
      <c r="U31" s="97"/>
      <c r="V31" s="97"/>
      <c r="W31" s="97"/>
      <c r="X31" s="97"/>
      <c r="Y31" s="97"/>
      <c r="Z31" s="97"/>
      <c r="AA31" s="97"/>
      <c r="AB31" s="97"/>
      <c r="AC31" s="97"/>
      <c r="AD31" s="97"/>
      <c r="AE31" s="97">
        <v>5</v>
      </c>
      <c r="AF31" s="97">
        <v>4</v>
      </c>
      <c r="AG31" s="97">
        <v>20</v>
      </c>
      <c r="AH31" s="97">
        <v>15</v>
      </c>
      <c r="AI31" s="97">
        <v>45</v>
      </c>
      <c r="AJ31" s="97">
        <v>10</v>
      </c>
      <c r="AK31" s="97">
        <v>12</v>
      </c>
      <c r="AL31" s="97">
        <v>45</v>
      </c>
      <c r="AM31" s="97">
        <v>25</v>
      </c>
      <c r="AN31" s="97">
        <v>5</v>
      </c>
      <c r="AO31" s="97">
        <v>8</v>
      </c>
      <c r="AP31" s="97">
        <v>10</v>
      </c>
      <c r="AQ31" s="97">
        <v>10</v>
      </c>
      <c r="AR31" s="97">
        <v>10</v>
      </c>
      <c r="AS31" s="97">
        <v>10</v>
      </c>
      <c r="AT31" s="97">
        <v>5</v>
      </c>
      <c r="AU31" s="97"/>
      <c r="AV31" s="97"/>
      <c r="AW31" s="97"/>
      <c r="AX31" s="97"/>
      <c r="AY31" s="97"/>
      <c r="AZ31" s="97"/>
      <c r="BA31" s="97"/>
      <c r="BB31" s="47"/>
      <c r="BC31" s="48">
        <v>43038</v>
      </c>
      <c r="BD31" s="49">
        <f t="shared" si="0"/>
        <v>105</v>
      </c>
      <c r="BE31" s="49">
        <f>SUM(Table11[[#This Row],[S13]:[S52]])</f>
        <v>239</v>
      </c>
      <c r="BF31" s="49">
        <v>2</v>
      </c>
      <c r="BG31" s="49">
        <v>50</v>
      </c>
      <c r="BH31" s="49">
        <f>Table11[[#This Row],[Quantité récolté]]*Table11[[#This Row],[Prix de vente Moy.]]/Table11[[#This Row],[Surface cultivée (m²)]]</f>
        <v>9.56</v>
      </c>
      <c r="BI31" s="51"/>
      <c r="BJ31" s="49"/>
      <c r="BK31" s="49"/>
      <c r="BL31" s="47" t="s">
        <v>495</v>
      </c>
      <c r="BM31" s="47"/>
      <c r="BN31" s="47"/>
      <c r="BO31" s="47"/>
      <c r="BP31" s="47"/>
      <c r="BQ31" s="47"/>
      <c r="BR31" s="47"/>
      <c r="BS31" s="47"/>
    </row>
    <row r="32" spans="1:71" s="59" customFormat="1" ht="12.75" customHeight="1">
      <c r="A32" s="47" t="s">
        <v>815</v>
      </c>
      <c r="B32" s="59" t="s">
        <v>696</v>
      </c>
      <c r="C32" s="47" t="s">
        <v>746</v>
      </c>
      <c r="D32" s="47"/>
      <c r="E32" s="47"/>
      <c r="F32" s="47"/>
      <c r="G32" s="47"/>
      <c r="H32" s="60">
        <v>200</v>
      </c>
      <c r="I32" s="61">
        <v>42787</v>
      </c>
      <c r="J32" s="49">
        <f>Table11[[#This Row],[Date plantation]]-Table11[[#This Row],[Date semis]]</f>
        <v>71</v>
      </c>
      <c r="K32" s="61">
        <v>42858</v>
      </c>
      <c r="L32" s="49">
        <f t="shared" si="1"/>
        <v>146</v>
      </c>
      <c r="M32" s="116">
        <v>42933</v>
      </c>
      <c r="N32" s="116" t="s">
        <v>33</v>
      </c>
      <c r="O32" s="97"/>
      <c r="P32" s="97"/>
      <c r="Q32" s="97"/>
      <c r="R32" s="97"/>
      <c r="S32" s="97"/>
      <c r="T32" s="97"/>
      <c r="U32" s="97"/>
      <c r="V32" s="97"/>
      <c r="W32" s="97"/>
      <c r="X32" s="97"/>
      <c r="Y32" s="97"/>
      <c r="Z32" s="97"/>
      <c r="AA32" s="97"/>
      <c r="AB32" s="97"/>
      <c r="AC32" s="97"/>
      <c r="AD32" s="97"/>
      <c r="AE32" s="97">
        <v>5</v>
      </c>
      <c r="AF32" s="97">
        <v>25</v>
      </c>
      <c r="AG32" s="97">
        <v>60</v>
      </c>
      <c r="AH32" s="97">
        <v>95</v>
      </c>
      <c r="AI32" s="97">
        <v>130</v>
      </c>
      <c r="AJ32" s="97">
        <v>60</v>
      </c>
      <c r="AK32" s="97">
        <v>45</v>
      </c>
      <c r="AL32" s="97">
        <v>40</v>
      </c>
      <c r="AM32" s="97">
        <v>20</v>
      </c>
      <c r="AN32" s="97">
        <v>15</v>
      </c>
      <c r="AO32" s="97">
        <v>25</v>
      </c>
      <c r="AP32" s="97">
        <v>20</v>
      </c>
      <c r="AQ32" s="97">
        <v>25</v>
      </c>
      <c r="AR32" s="97">
        <v>30</v>
      </c>
      <c r="AS32" s="97">
        <v>25</v>
      </c>
      <c r="AT32" s="97">
        <v>10</v>
      </c>
      <c r="AU32" s="97"/>
      <c r="AV32" s="97"/>
      <c r="AW32" s="97"/>
      <c r="AX32" s="97"/>
      <c r="AY32" s="97"/>
      <c r="AZ32" s="97"/>
      <c r="BA32" s="97"/>
      <c r="BB32" s="47"/>
      <c r="BC32" s="48">
        <v>43038</v>
      </c>
      <c r="BD32" s="49">
        <f t="shared" si="0"/>
        <v>105</v>
      </c>
      <c r="BE32" s="49">
        <f>SUM(Table11[[#This Row],[S13]:[S52]])</f>
        <v>630</v>
      </c>
      <c r="BF32" s="49">
        <v>3.2</v>
      </c>
      <c r="BG32" s="49">
        <v>70</v>
      </c>
      <c r="BH32" s="49">
        <f>Table11[[#This Row],[Quantité récolté]]*Table11[[#This Row],[Prix de vente Moy.]]/Table11[[#This Row],[Surface cultivée (m²)]]</f>
        <v>28.8</v>
      </c>
      <c r="BI32" s="51"/>
      <c r="BJ32" s="49"/>
      <c r="BK32" s="49"/>
      <c r="BL32" s="47" t="s">
        <v>496</v>
      </c>
      <c r="BM32" s="47"/>
      <c r="BN32" s="47"/>
      <c r="BO32" s="47"/>
      <c r="BP32" s="47"/>
      <c r="BQ32" s="47"/>
      <c r="BR32" s="47"/>
      <c r="BS32" s="47"/>
    </row>
    <row r="33" spans="1:71" s="59" customFormat="1" ht="12.75" customHeight="1">
      <c r="A33" s="47" t="s">
        <v>860</v>
      </c>
      <c r="B33" s="59" t="s">
        <v>747</v>
      </c>
      <c r="C33" s="47" t="s">
        <v>716</v>
      </c>
      <c r="D33" s="47"/>
      <c r="E33" s="47"/>
      <c r="F33" s="47"/>
      <c r="G33" s="47">
        <v>0.2</v>
      </c>
      <c r="H33" s="60">
        <v>100</v>
      </c>
      <c r="I33" s="61">
        <v>42787</v>
      </c>
      <c r="J33" s="49">
        <f>Table11[[#This Row],[Date plantation]]-Table11[[#This Row],[Date semis]]</f>
        <v>71</v>
      </c>
      <c r="K33" s="61">
        <v>42858</v>
      </c>
      <c r="L33" s="49">
        <f t="shared" si="1"/>
        <v>90</v>
      </c>
      <c r="M33" s="116">
        <v>42877</v>
      </c>
      <c r="N33" s="116" t="s">
        <v>1902</v>
      </c>
      <c r="O33" s="97"/>
      <c r="P33" s="97"/>
      <c r="Q33" s="97"/>
      <c r="R33" s="97"/>
      <c r="S33" s="97"/>
      <c r="T33" s="97"/>
      <c r="U33" s="97"/>
      <c r="V33" s="97"/>
      <c r="W33" s="97">
        <v>28</v>
      </c>
      <c r="X33" s="97">
        <v>45</v>
      </c>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47"/>
      <c r="BC33" s="48">
        <v>42884</v>
      </c>
      <c r="BD33" s="49">
        <f t="shared" si="0"/>
        <v>7</v>
      </c>
      <c r="BE33" s="49">
        <f>SUM(Table11[[#This Row],[S13]:[S52]])</f>
        <v>73</v>
      </c>
      <c r="BF33" s="49">
        <v>1</v>
      </c>
      <c r="BG33" s="49">
        <v>11</v>
      </c>
      <c r="BH33" s="49">
        <f>Table11[[#This Row],[Quantité récolté]]*Table11[[#This Row],[Prix de vente Moy.]]/Table11[[#This Row],[Surface cultivée (m²)]]</f>
        <v>6.6363636363636367</v>
      </c>
      <c r="BI33" s="51"/>
      <c r="BJ33" s="49"/>
      <c r="BK33" s="49"/>
      <c r="BL33" s="47" t="s">
        <v>497</v>
      </c>
      <c r="BM33" s="47"/>
      <c r="BN33" s="47"/>
      <c r="BO33" s="47"/>
      <c r="BP33" s="47"/>
      <c r="BQ33" s="47"/>
      <c r="BR33" s="47"/>
      <c r="BS33" s="47"/>
    </row>
    <row r="34" spans="1:71" s="59" customFormat="1" ht="12.75" customHeight="1">
      <c r="A34" s="47" t="s">
        <v>781</v>
      </c>
      <c r="B34" s="59" t="s">
        <v>748</v>
      </c>
      <c r="C34" s="47" t="s">
        <v>730</v>
      </c>
      <c r="D34" s="47">
        <v>8</v>
      </c>
      <c r="E34" s="47">
        <v>4</v>
      </c>
      <c r="F34" s="47">
        <v>30</v>
      </c>
      <c r="G34" s="47">
        <v>0.2</v>
      </c>
      <c r="H34" s="60">
        <v>100</v>
      </c>
      <c r="I34" s="61">
        <v>42787</v>
      </c>
      <c r="J34" s="49">
        <f>Table11[[#This Row],[Date plantation]]-Table11[[#This Row],[Date semis]]</f>
        <v>29</v>
      </c>
      <c r="K34" s="61">
        <v>42816</v>
      </c>
      <c r="L34" s="49">
        <f t="shared" si="1"/>
        <v>93</v>
      </c>
      <c r="M34" s="116">
        <v>42880</v>
      </c>
      <c r="N34" s="116" t="s">
        <v>1902</v>
      </c>
      <c r="O34" s="97"/>
      <c r="P34" s="97"/>
      <c r="Q34" s="97"/>
      <c r="R34" s="97"/>
      <c r="S34" s="97"/>
      <c r="T34" s="97"/>
      <c r="U34" s="97"/>
      <c r="V34" s="97"/>
      <c r="W34" s="97">
        <v>15</v>
      </c>
      <c r="X34" s="97">
        <v>37</v>
      </c>
      <c r="Y34" s="97">
        <v>4</v>
      </c>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47"/>
      <c r="BC34" s="48">
        <v>42891</v>
      </c>
      <c r="BD34" s="49">
        <f t="shared" ref="BD34:BD65" si="2">BC34-M34</f>
        <v>11</v>
      </c>
      <c r="BE34" s="49">
        <f>SUM(Table11[[#This Row],[S13]:[S52]])</f>
        <v>56</v>
      </c>
      <c r="BF34" s="49">
        <v>1</v>
      </c>
      <c r="BG34" s="49">
        <v>20</v>
      </c>
      <c r="BH34" s="49">
        <f>Table11[[#This Row],[Quantité récolté]]*Table11[[#This Row],[Prix de vente Moy.]]/Table11[[#This Row],[Surface cultivée (m²)]]</f>
        <v>2.8</v>
      </c>
      <c r="BI34" s="51"/>
      <c r="BJ34" s="49"/>
      <c r="BK34" s="49"/>
      <c r="BL34" s="47"/>
      <c r="BM34" s="47"/>
      <c r="BN34" s="47"/>
      <c r="BO34" s="47"/>
      <c r="BP34" s="47"/>
      <c r="BQ34" s="47"/>
      <c r="BR34" s="47"/>
      <c r="BS34" s="47"/>
    </row>
    <row r="35" spans="1:71" s="59" customFormat="1" ht="12.75" customHeight="1">
      <c r="A35" s="47" t="s">
        <v>773</v>
      </c>
      <c r="B35" s="59" t="s">
        <v>749</v>
      </c>
      <c r="C35" s="47" t="s">
        <v>714</v>
      </c>
      <c r="D35" s="47"/>
      <c r="E35" s="47"/>
      <c r="F35" s="47"/>
      <c r="G35" s="47">
        <v>0.3</v>
      </c>
      <c r="H35" s="60">
        <v>200</v>
      </c>
      <c r="I35" s="61">
        <v>42787</v>
      </c>
      <c r="J35" s="49">
        <f>Table11[[#This Row],[Date plantation]]-Table11[[#This Row],[Date semis]]</f>
        <v>29</v>
      </c>
      <c r="K35" s="61">
        <v>42816</v>
      </c>
      <c r="L35" s="49">
        <f t="shared" ref="L35:L66" si="3">M35-I35</f>
        <v>83</v>
      </c>
      <c r="M35" s="116">
        <v>42870</v>
      </c>
      <c r="N35" s="116" t="s">
        <v>1902</v>
      </c>
      <c r="O35" s="97"/>
      <c r="P35" s="97"/>
      <c r="Q35" s="97"/>
      <c r="R35" s="97"/>
      <c r="S35" s="97"/>
      <c r="T35" s="97"/>
      <c r="U35" s="97"/>
      <c r="V35" s="97">
        <f>12+12</f>
        <v>24</v>
      </c>
      <c r="W35" s="97">
        <v>40</v>
      </c>
      <c r="X35" s="97">
        <v>25</v>
      </c>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47"/>
      <c r="BC35" s="48">
        <v>42884</v>
      </c>
      <c r="BD35" s="49">
        <f t="shared" si="2"/>
        <v>14</v>
      </c>
      <c r="BE35" s="49">
        <f>SUM(Table11[[#This Row],[S13]:[S52]])</f>
        <v>89</v>
      </c>
      <c r="BF35" s="49">
        <v>1</v>
      </c>
      <c r="BG35" s="49">
        <v>20</v>
      </c>
      <c r="BH35" s="49">
        <f>Table11[[#This Row],[Quantité récolté]]*Table11[[#This Row],[Prix de vente Moy.]]/Table11[[#This Row],[Surface cultivée (m²)]]</f>
        <v>4.45</v>
      </c>
      <c r="BI35" s="51"/>
      <c r="BJ35" s="49"/>
      <c r="BK35" s="49"/>
      <c r="BL35" s="47"/>
      <c r="BM35" s="47"/>
      <c r="BN35" s="47"/>
      <c r="BO35" s="47"/>
      <c r="BP35" s="47"/>
      <c r="BQ35" s="47"/>
      <c r="BR35" s="47"/>
      <c r="BS35" s="47"/>
    </row>
    <row r="36" spans="1:71" s="59" customFormat="1" ht="12.75" customHeight="1">
      <c r="A36" s="47" t="s">
        <v>756</v>
      </c>
      <c r="B36" s="59" t="s">
        <v>755</v>
      </c>
      <c r="C36" s="47" t="s">
        <v>774</v>
      </c>
      <c r="D36" s="47">
        <v>33</v>
      </c>
      <c r="E36" s="47">
        <v>3</v>
      </c>
      <c r="F36" s="47">
        <v>3</v>
      </c>
      <c r="G36" s="47">
        <v>30</v>
      </c>
      <c r="H36" s="60"/>
      <c r="I36" s="61">
        <v>42790</v>
      </c>
      <c r="J36" s="49">
        <f>Table11[[#This Row],[Date plantation]]-Table11[[#This Row],[Date semis]]</f>
        <v>0</v>
      </c>
      <c r="K36" s="61">
        <v>42790</v>
      </c>
      <c r="L36" s="49">
        <f t="shared" si="3"/>
        <v>39</v>
      </c>
      <c r="M36" s="116">
        <v>42829</v>
      </c>
      <c r="N36" s="116" t="s">
        <v>32</v>
      </c>
      <c r="O36" s="97"/>
      <c r="P36" s="97">
        <v>1</v>
      </c>
      <c r="Q36" s="97">
        <v>17</v>
      </c>
      <c r="R36" s="97">
        <v>8</v>
      </c>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47"/>
      <c r="BC36" s="48">
        <v>42842</v>
      </c>
      <c r="BD36" s="49">
        <f t="shared" si="2"/>
        <v>13</v>
      </c>
      <c r="BE36" s="49">
        <f>SUM(Table11[[#This Row],[S13]:[S52]])</f>
        <v>26</v>
      </c>
      <c r="BF36" s="49">
        <v>1.1000000000000001</v>
      </c>
      <c r="BG36" s="49">
        <v>30</v>
      </c>
      <c r="BH36" s="49">
        <f>Table11[[#This Row],[Quantité récolté]]*Table11[[#This Row],[Prix de vente Moy.]]/Table11[[#This Row],[Surface cultivée (m²)]]</f>
        <v>0.95333333333333337</v>
      </c>
      <c r="BI36" s="51"/>
      <c r="BJ36" s="49"/>
      <c r="BK36" s="49"/>
      <c r="BL36" s="47"/>
      <c r="BM36" s="47"/>
      <c r="BN36" s="47"/>
      <c r="BO36" s="47"/>
      <c r="BP36" s="47"/>
      <c r="BQ36" s="47"/>
      <c r="BR36" s="47"/>
      <c r="BS36" s="47"/>
    </row>
    <row r="37" spans="1:71" s="59" customFormat="1" ht="12.75" customHeight="1">
      <c r="A37" s="47" t="s">
        <v>782</v>
      </c>
      <c r="B37" s="59" t="s">
        <v>760</v>
      </c>
      <c r="C37" s="47"/>
      <c r="D37" s="47">
        <v>7</v>
      </c>
      <c r="E37" s="47">
        <v>4</v>
      </c>
      <c r="F37" s="47">
        <v>20</v>
      </c>
      <c r="G37" s="47">
        <v>0.2</v>
      </c>
      <c r="H37" s="60">
        <v>100</v>
      </c>
      <c r="I37" s="61">
        <v>42794</v>
      </c>
      <c r="J37" s="49">
        <f>Table11[[#This Row],[Date plantation]]-Table11[[#This Row],[Date semis]]</f>
        <v>22</v>
      </c>
      <c r="K37" s="61">
        <v>42816</v>
      </c>
      <c r="L37" s="49">
        <f t="shared" si="3"/>
        <v>66</v>
      </c>
      <c r="M37" s="116">
        <v>42860</v>
      </c>
      <c r="N37" s="116" t="s">
        <v>33</v>
      </c>
      <c r="O37" s="97"/>
      <c r="P37" s="97"/>
      <c r="Q37" s="97"/>
      <c r="R37" s="97"/>
      <c r="S37" s="97"/>
      <c r="T37" s="97">
        <v>7</v>
      </c>
      <c r="U37" s="97">
        <v>10</v>
      </c>
      <c r="V37" s="97">
        <v>16</v>
      </c>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47"/>
      <c r="BC37" s="48">
        <v>42870</v>
      </c>
      <c r="BD37" s="49">
        <f t="shared" si="2"/>
        <v>10</v>
      </c>
      <c r="BE37" s="49">
        <f>SUM(Table11[[#This Row],[S13]:[S52]])</f>
        <v>33</v>
      </c>
      <c r="BF37" s="49">
        <v>2</v>
      </c>
      <c r="BG37" s="49">
        <v>8</v>
      </c>
      <c r="BH37" s="49">
        <f>Table11[[#This Row],[Quantité récolté]]*Table11[[#This Row],[Prix de vente Moy.]]/Table11[[#This Row],[Surface cultivée (m²)]]</f>
        <v>8.25</v>
      </c>
      <c r="BI37" s="51"/>
      <c r="BJ37" s="49"/>
      <c r="BK37" s="49"/>
      <c r="BL37" s="47"/>
      <c r="BM37" s="47"/>
      <c r="BN37" s="47"/>
      <c r="BO37" s="47"/>
      <c r="BP37" s="47"/>
      <c r="BQ37" s="47"/>
      <c r="BR37" s="47"/>
      <c r="BS37" s="47"/>
    </row>
    <row r="38" spans="1:71" s="59" customFormat="1" ht="12.75" customHeight="1">
      <c r="A38" s="47" t="s">
        <v>787</v>
      </c>
      <c r="B38" s="59" t="s">
        <v>570</v>
      </c>
      <c r="C38" s="47" t="s">
        <v>727</v>
      </c>
      <c r="D38" s="47">
        <v>11</v>
      </c>
      <c r="E38" s="47">
        <v>6</v>
      </c>
      <c r="F38" s="47"/>
      <c r="G38" s="47">
        <v>5</v>
      </c>
      <c r="H38" s="60">
        <v>900</v>
      </c>
      <c r="I38" s="61">
        <v>42807</v>
      </c>
      <c r="J38" s="49">
        <f>Table11[[#This Row],[Date plantation]]-Table11[[#This Row],[Date semis]]</f>
        <v>17</v>
      </c>
      <c r="K38" s="61">
        <v>42824</v>
      </c>
      <c r="L38" s="49">
        <f t="shared" si="3"/>
        <v>49</v>
      </c>
      <c r="M38" s="116">
        <v>42856</v>
      </c>
      <c r="N38" s="116" t="s">
        <v>33</v>
      </c>
      <c r="O38" s="97"/>
      <c r="P38" s="97"/>
      <c r="Q38" s="97"/>
      <c r="R38" s="97"/>
      <c r="S38" s="97"/>
      <c r="T38" s="97">
        <v>4</v>
      </c>
      <c r="U38" s="97">
        <v>13</v>
      </c>
      <c r="V38" s="97">
        <f>4+7</f>
        <v>11</v>
      </c>
      <c r="W38" s="97">
        <v>9</v>
      </c>
      <c r="X38" s="97">
        <v>6</v>
      </c>
      <c r="Y38" s="97">
        <v>2.5</v>
      </c>
      <c r="Z38" s="97">
        <v>5</v>
      </c>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47"/>
      <c r="BC38" s="48">
        <v>42898</v>
      </c>
      <c r="BD38" s="49">
        <f t="shared" si="2"/>
        <v>42</v>
      </c>
      <c r="BE38" s="49">
        <f>SUM(Table11[[#This Row],[S13]:[S52]])</f>
        <v>50.5</v>
      </c>
      <c r="BF38" s="49">
        <v>8</v>
      </c>
      <c r="BG38" s="49">
        <v>22</v>
      </c>
      <c r="BH38" s="49">
        <f>Table11[[#This Row],[Quantité récolté]]*Table11[[#This Row],[Prix de vente Moy.]]/Table11[[#This Row],[Surface cultivée (m²)]]</f>
        <v>18.363636363636363</v>
      </c>
      <c r="BI38" s="51"/>
      <c r="BJ38" s="49"/>
      <c r="BK38" s="49"/>
      <c r="BL38" s="47"/>
      <c r="BM38" s="47"/>
      <c r="BN38" s="47"/>
      <c r="BO38" s="47"/>
      <c r="BP38" s="47"/>
      <c r="BQ38" s="47"/>
      <c r="BR38" s="47"/>
      <c r="BS38" s="47"/>
    </row>
    <row r="39" spans="1:71" s="59" customFormat="1" ht="12.75" customHeight="1">
      <c r="A39" s="47" t="s">
        <v>782</v>
      </c>
      <c r="B39" s="59" t="s">
        <v>602</v>
      </c>
      <c r="C39" s="47" t="s">
        <v>716</v>
      </c>
      <c r="D39" s="47">
        <v>6</v>
      </c>
      <c r="E39" s="47">
        <v>4</v>
      </c>
      <c r="F39" s="47"/>
      <c r="G39" s="47">
        <v>0.2</v>
      </c>
      <c r="H39" s="60">
        <v>100</v>
      </c>
      <c r="I39" s="61">
        <v>42807</v>
      </c>
      <c r="J39" s="49">
        <f>Table11[[#This Row],[Date plantation]]-Table11[[#This Row],[Date semis]]</f>
        <v>17</v>
      </c>
      <c r="K39" s="61">
        <v>42824</v>
      </c>
      <c r="L39" s="49">
        <f t="shared" si="3"/>
        <v>78</v>
      </c>
      <c r="M39" s="116">
        <v>42885</v>
      </c>
      <c r="N39" s="116" t="s">
        <v>1902</v>
      </c>
      <c r="O39" s="97"/>
      <c r="P39" s="97"/>
      <c r="Q39" s="97"/>
      <c r="R39" s="97"/>
      <c r="S39" s="97"/>
      <c r="T39" s="97"/>
      <c r="U39" s="97"/>
      <c r="V39" s="97"/>
      <c r="W39" s="97"/>
      <c r="X39" s="97">
        <v>24</v>
      </c>
      <c r="Y39" s="97">
        <v>8</v>
      </c>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47"/>
      <c r="BC39" s="48">
        <v>42891</v>
      </c>
      <c r="BD39" s="49">
        <f t="shared" si="2"/>
        <v>6</v>
      </c>
      <c r="BE39" s="49">
        <f>SUM(Table11[[#This Row],[S13]:[S52]])</f>
        <v>32</v>
      </c>
      <c r="BF39" s="49">
        <v>1</v>
      </c>
      <c r="BG39" s="49">
        <v>4</v>
      </c>
      <c r="BH39" s="49">
        <f>Table11[[#This Row],[Quantité récolté]]*Table11[[#This Row],[Prix de vente Moy.]]/Table11[[#This Row],[Surface cultivée (m²)]]</f>
        <v>8</v>
      </c>
      <c r="BI39" s="51"/>
      <c r="BJ39" s="49"/>
      <c r="BK39" s="49"/>
      <c r="BL39" s="47"/>
      <c r="BM39" s="47"/>
      <c r="BN39" s="47"/>
      <c r="BO39" s="47"/>
      <c r="BP39" s="47"/>
      <c r="BQ39" s="47"/>
      <c r="BR39" s="47"/>
      <c r="BS39" s="47"/>
    </row>
    <row r="40" spans="1:71" s="59" customFormat="1" ht="12.75" customHeight="1">
      <c r="A40" s="47" t="s">
        <v>788</v>
      </c>
      <c r="B40" s="59" t="s">
        <v>759</v>
      </c>
      <c r="C40" s="47" t="s">
        <v>769</v>
      </c>
      <c r="D40" s="47"/>
      <c r="E40" s="47"/>
      <c r="F40" s="47"/>
      <c r="G40" s="47">
        <v>0.3</v>
      </c>
      <c r="H40" s="60">
        <v>200</v>
      </c>
      <c r="I40" s="61">
        <v>42807</v>
      </c>
      <c r="J40" s="49">
        <f>Table11[[#This Row],[Date plantation]]-Table11[[#This Row],[Date semis]]</f>
        <v>25</v>
      </c>
      <c r="K40" s="61">
        <v>42832</v>
      </c>
      <c r="L40" s="49">
        <f t="shared" si="3"/>
        <v>85</v>
      </c>
      <c r="M40" s="116">
        <v>42892</v>
      </c>
      <c r="N40" s="116" t="s">
        <v>1902</v>
      </c>
      <c r="O40" s="97"/>
      <c r="P40" s="97"/>
      <c r="Q40" s="97"/>
      <c r="R40" s="97"/>
      <c r="S40" s="97"/>
      <c r="T40" s="97"/>
      <c r="U40" s="97"/>
      <c r="V40" s="97"/>
      <c r="W40" s="97"/>
      <c r="X40" s="97"/>
      <c r="Y40" s="97">
        <v>13</v>
      </c>
      <c r="Z40" s="97">
        <v>52</v>
      </c>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47"/>
      <c r="BC40" s="48">
        <v>42898</v>
      </c>
      <c r="BD40" s="49">
        <f t="shared" si="2"/>
        <v>6</v>
      </c>
      <c r="BE40" s="49">
        <f>SUM(Table11[[#This Row],[S13]:[S52]])</f>
        <v>65</v>
      </c>
      <c r="BF40" s="49">
        <v>1</v>
      </c>
      <c r="BG40" s="49">
        <v>11</v>
      </c>
      <c r="BH40" s="49">
        <f>Table11[[#This Row],[Quantité récolté]]*Table11[[#This Row],[Prix de vente Moy.]]/Table11[[#This Row],[Surface cultivée (m²)]]</f>
        <v>5.9090909090909092</v>
      </c>
      <c r="BI40" s="51"/>
      <c r="BJ40" s="49"/>
      <c r="BK40" s="49"/>
      <c r="BL40" s="47"/>
      <c r="BM40" s="47"/>
      <c r="BN40" s="47"/>
      <c r="BO40" s="47"/>
      <c r="BP40" s="47"/>
      <c r="BQ40" s="47"/>
      <c r="BR40" s="47"/>
      <c r="BS40" s="47"/>
    </row>
    <row r="41" spans="1:71" s="59" customFormat="1" ht="12.75" customHeight="1">
      <c r="A41" s="47" t="s">
        <v>772</v>
      </c>
      <c r="B41" s="59" t="s">
        <v>614</v>
      </c>
      <c r="C41" s="47" t="s">
        <v>738</v>
      </c>
      <c r="D41" s="47">
        <v>22</v>
      </c>
      <c r="E41" s="47">
        <v>6</v>
      </c>
      <c r="F41" s="47"/>
      <c r="G41" s="47">
        <v>15</v>
      </c>
      <c r="H41" s="60"/>
      <c r="I41" s="61">
        <v>42807</v>
      </c>
      <c r="J41" s="49">
        <f>Table11[[#This Row],[Date plantation]]-Table11[[#This Row],[Date semis]]</f>
        <v>0</v>
      </c>
      <c r="K41" s="61">
        <v>42807</v>
      </c>
      <c r="L41" s="49">
        <f t="shared" si="3"/>
        <v>95</v>
      </c>
      <c r="M41" s="116">
        <v>42902</v>
      </c>
      <c r="N41" s="116" t="s">
        <v>32</v>
      </c>
      <c r="O41" s="97"/>
      <c r="P41" s="97"/>
      <c r="Q41" s="97"/>
      <c r="R41" s="97"/>
      <c r="S41" s="97"/>
      <c r="T41" s="97"/>
      <c r="U41" s="97"/>
      <c r="V41" s="97"/>
      <c r="W41" s="97"/>
      <c r="X41" s="97"/>
      <c r="Y41" s="97"/>
      <c r="Z41" s="97">
        <v>1</v>
      </c>
      <c r="AA41" s="97">
        <v>14</v>
      </c>
      <c r="AB41" s="97">
        <v>26</v>
      </c>
      <c r="AC41" s="97">
        <f>13+18</f>
        <v>31</v>
      </c>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47"/>
      <c r="BC41" s="48">
        <v>42919</v>
      </c>
      <c r="BD41" s="49">
        <f t="shared" si="2"/>
        <v>17</v>
      </c>
      <c r="BE41" s="49">
        <f>SUM(Table11[[#This Row],[S13]:[S52]])</f>
        <v>72</v>
      </c>
      <c r="BF41" s="49">
        <v>2.4</v>
      </c>
      <c r="BG41" s="49">
        <v>22</v>
      </c>
      <c r="BH41" s="49">
        <f>Table11[[#This Row],[Quantité récolté]]*Table11[[#This Row],[Prix de vente Moy.]]/Table11[[#This Row],[Surface cultivée (m²)]]</f>
        <v>7.8545454545454536</v>
      </c>
      <c r="BI41" s="51"/>
      <c r="BJ41" s="49"/>
      <c r="BK41" s="49"/>
      <c r="BL41" s="47"/>
      <c r="BM41" s="47"/>
      <c r="BN41" s="47"/>
      <c r="BO41" s="47"/>
      <c r="BP41" s="47"/>
      <c r="BQ41" s="47"/>
      <c r="BR41" s="47"/>
      <c r="BS41" s="47"/>
    </row>
    <row r="42" spans="1:71" s="59" customFormat="1" ht="12.75" customHeight="1">
      <c r="A42" s="84" t="s">
        <v>773</v>
      </c>
      <c r="B42" s="85" t="s">
        <v>335</v>
      </c>
      <c r="C42" s="47" t="s">
        <v>771</v>
      </c>
      <c r="D42" s="47">
        <v>22</v>
      </c>
      <c r="E42" s="47">
        <v>4</v>
      </c>
      <c r="F42" s="47"/>
      <c r="G42" s="47">
        <v>4</v>
      </c>
      <c r="H42" s="60"/>
      <c r="I42" s="61">
        <v>42809</v>
      </c>
      <c r="J42" s="49">
        <f>Table11[[#This Row],[Date plantation]]-Table11[[#This Row],[Date semis]]</f>
        <v>0</v>
      </c>
      <c r="K42" s="61">
        <v>42809</v>
      </c>
      <c r="L42" s="49">
        <f t="shared" si="3"/>
        <v>-42809</v>
      </c>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47"/>
      <c r="BC42" s="48"/>
      <c r="BD42" s="49">
        <f t="shared" si="2"/>
        <v>0</v>
      </c>
      <c r="BE42" s="49">
        <f>SUM(Table11[[#This Row],[S13]:[S52]])</f>
        <v>0</v>
      </c>
      <c r="BF42" s="49"/>
      <c r="BG42" s="49"/>
      <c r="BH42" s="49" t="e">
        <f>Table11[[#This Row],[Quantité récolté]]*Table11[[#This Row],[Prix de vente Moy.]]/Table11[[#This Row],[Surface cultivée (m²)]]</f>
        <v>#DIV/0!</v>
      </c>
      <c r="BI42" s="51"/>
      <c r="BJ42" s="49"/>
      <c r="BK42" s="49"/>
      <c r="BL42" s="47"/>
      <c r="BM42" s="47"/>
      <c r="BN42" s="47"/>
      <c r="BO42" s="47"/>
      <c r="BP42" s="47"/>
      <c r="BQ42" s="47"/>
      <c r="BR42" s="47"/>
      <c r="BS42" s="47"/>
    </row>
    <row r="43" spans="1:71" s="59" customFormat="1" ht="12.75" customHeight="1">
      <c r="A43" s="47" t="s">
        <v>775</v>
      </c>
      <c r="B43" s="59" t="s">
        <v>618</v>
      </c>
      <c r="C43" s="47" t="s">
        <v>774</v>
      </c>
      <c r="D43" s="47">
        <v>22</v>
      </c>
      <c r="E43" s="47">
        <v>8</v>
      </c>
      <c r="F43" s="47"/>
      <c r="G43" s="47">
        <v>30</v>
      </c>
      <c r="H43" s="60"/>
      <c r="I43" s="61">
        <v>42809</v>
      </c>
      <c r="J43" s="49">
        <f>Table11[[#This Row],[Date plantation]]-Table11[[#This Row],[Date semis]]</f>
        <v>0</v>
      </c>
      <c r="K43" s="61">
        <v>42809</v>
      </c>
      <c r="L43" s="49">
        <f t="shared" si="3"/>
        <v>34</v>
      </c>
      <c r="M43" s="116">
        <v>42843</v>
      </c>
      <c r="N43" s="116" t="s">
        <v>32</v>
      </c>
      <c r="O43" s="97"/>
      <c r="P43" s="97"/>
      <c r="Q43" s="97"/>
      <c r="R43" s="97">
        <v>10</v>
      </c>
      <c r="S43" s="97">
        <v>40</v>
      </c>
      <c r="T43" s="97">
        <v>12</v>
      </c>
      <c r="U43" s="97">
        <v>11</v>
      </c>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47"/>
      <c r="BC43" s="48">
        <v>42863</v>
      </c>
      <c r="BD43" s="49">
        <f t="shared" si="2"/>
        <v>20</v>
      </c>
      <c r="BE43" s="49">
        <f>SUM(Table11[[#This Row],[S13]:[S52]])</f>
        <v>73</v>
      </c>
      <c r="BF43" s="49">
        <v>1.1000000000000001</v>
      </c>
      <c r="BG43" s="49">
        <v>20</v>
      </c>
      <c r="BH43" s="49">
        <f>Table11[[#This Row],[Quantité récolté]]*Table11[[#This Row],[Prix de vente Moy.]]/Table11[[#This Row],[Surface cultivée (m²)]]</f>
        <v>4.0150000000000006</v>
      </c>
      <c r="BI43" s="51"/>
      <c r="BJ43" s="49"/>
      <c r="BK43" s="49"/>
      <c r="BL43" s="47"/>
      <c r="BM43" s="47"/>
      <c r="BN43" s="47"/>
      <c r="BO43" s="47"/>
      <c r="BP43" s="47"/>
      <c r="BQ43" s="47"/>
      <c r="BR43" s="47"/>
      <c r="BS43" s="47"/>
    </row>
    <row r="44" spans="1:71" s="59" customFormat="1" ht="12.75" customHeight="1">
      <c r="A44" s="47" t="s">
        <v>884</v>
      </c>
      <c r="B44" s="59" t="s">
        <v>486</v>
      </c>
      <c r="C44" s="47" t="s">
        <v>776</v>
      </c>
      <c r="D44" s="47">
        <v>66</v>
      </c>
      <c r="E44" s="47">
        <v>4</v>
      </c>
      <c r="F44" s="47">
        <v>15</v>
      </c>
      <c r="G44" s="47">
        <v>15</v>
      </c>
      <c r="H44" s="60">
        <v>1300</v>
      </c>
      <c r="I44" s="61">
        <v>42811</v>
      </c>
      <c r="J44" s="49">
        <f>Table11[[#This Row],[Date plantation]]-Table11[[#This Row],[Date semis]]</f>
        <v>108</v>
      </c>
      <c r="K44" s="61">
        <v>42919</v>
      </c>
      <c r="L44" s="49">
        <f t="shared" si="3"/>
        <v>189</v>
      </c>
      <c r="M44" s="116">
        <v>43000</v>
      </c>
      <c r="N44" s="116" t="s">
        <v>33</v>
      </c>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v>5</v>
      </c>
      <c r="AO44" s="97">
        <v>10</v>
      </c>
      <c r="AP44" s="97">
        <f>6+6</f>
        <v>12</v>
      </c>
      <c r="AQ44" s="97">
        <v>15</v>
      </c>
      <c r="AR44" s="97">
        <v>2</v>
      </c>
      <c r="AS44" s="97">
        <v>23</v>
      </c>
      <c r="AT44" s="97">
        <v>13</v>
      </c>
      <c r="AU44" s="97">
        <v>24</v>
      </c>
      <c r="AV44" s="97">
        <v>18</v>
      </c>
      <c r="AW44" s="97">
        <v>13</v>
      </c>
      <c r="AX44" s="97">
        <v>10</v>
      </c>
      <c r="AY44" s="97"/>
      <c r="AZ44" s="97"/>
      <c r="BA44" s="97"/>
      <c r="BB44" s="47"/>
      <c r="BC44" s="48">
        <v>43088</v>
      </c>
      <c r="BD44" s="49">
        <f t="shared" si="2"/>
        <v>88</v>
      </c>
      <c r="BE44" s="49">
        <f>SUM(Table11[[#This Row],[S13]:[S52]])</f>
        <v>145</v>
      </c>
      <c r="BF44" s="49">
        <v>2.6</v>
      </c>
      <c r="BG44" s="49">
        <v>66</v>
      </c>
      <c r="BH44" s="49">
        <f>Table11[[#This Row],[Quantité récolté]]*Table11[[#This Row],[Prix de vente Moy.]]/Table11[[#This Row],[Surface cultivée (m²)]]</f>
        <v>5.7121212121212119</v>
      </c>
      <c r="BI44" s="51"/>
      <c r="BJ44" s="49"/>
      <c r="BK44" s="49"/>
      <c r="BL44" s="47"/>
      <c r="BM44" s="47"/>
      <c r="BN44" s="47"/>
      <c r="BO44" s="47"/>
      <c r="BP44" s="47"/>
      <c r="BQ44" s="47"/>
      <c r="BR44" s="47"/>
      <c r="BS44" s="47"/>
    </row>
    <row r="45" spans="1:71" s="59" customFormat="1" ht="12.75" customHeight="1">
      <c r="A45" s="47" t="s">
        <v>816</v>
      </c>
      <c r="B45" s="59" t="s">
        <v>37</v>
      </c>
      <c r="C45" s="47" t="s">
        <v>777</v>
      </c>
      <c r="D45" s="47"/>
      <c r="E45" s="47"/>
      <c r="F45" s="47"/>
      <c r="G45" s="47"/>
      <c r="H45" s="60">
        <f>14*28</f>
        <v>392</v>
      </c>
      <c r="I45" s="61">
        <v>42811</v>
      </c>
      <c r="J45" s="49">
        <f>Table11[[#This Row],[Date plantation]]-Table11[[#This Row],[Date semis]]</f>
        <v>0</v>
      </c>
      <c r="K45" s="61">
        <v>42811</v>
      </c>
      <c r="L45" s="49">
        <f t="shared" si="3"/>
        <v>31</v>
      </c>
      <c r="M45" s="116">
        <v>42842</v>
      </c>
      <c r="N45" s="116" t="s">
        <v>1903</v>
      </c>
      <c r="O45" s="97"/>
      <c r="P45" s="97"/>
      <c r="Q45" s="97"/>
      <c r="R45" s="97">
        <v>5</v>
      </c>
      <c r="S45" s="97">
        <v>16</v>
      </c>
      <c r="T45" s="97">
        <v>6</v>
      </c>
      <c r="U45" s="97">
        <v>4</v>
      </c>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47"/>
      <c r="BC45" s="48">
        <v>42863</v>
      </c>
      <c r="BD45" s="49">
        <f t="shared" si="2"/>
        <v>21</v>
      </c>
      <c r="BE45" s="49">
        <f>SUM(Table11[[#This Row],[S13]:[S52]])</f>
        <v>31</v>
      </c>
      <c r="BF45" s="49">
        <v>3.5</v>
      </c>
      <c r="BG45" s="49">
        <v>22</v>
      </c>
      <c r="BH45" s="49">
        <f>Table11[[#This Row],[Quantité récolté]]*Table11[[#This Row],[Prix de vente Moy.]]/Table11[[#This Row],[Surface cultivée (m²)]]</f>
        <v>4.9318181818181817</v>
      </c>
      <c r="BI45" s="51"/>
      <c r="BJ45" s="49"/>
      <c r="BK45" s="49"/>
      <c r="BL45" s="47"/>
      <c r="BM45" s="47"/>
      <c r="BN45" s="47"/>
      <c r="BO45" s="47"/>
      <c r="BP45" s="47"/>
      <c r="BQ45" s="47"/>
      <c r="BR45" s="47"/>
      <c r="BS45" s="47"/>
    </row>
    <row r="46" spans="1:71" s="59" customFormat="1" ht="12.75" customHeight="1">
      <c r="A46" s="47" t="s">
        <v>778</v>
      </c>
      <c r="B46" s="59" t="s">
        <v>779</v>
      </c>
      <c r="C46" s="47" t="s">
        <v>780</v>
      </c>
      <c r="D46" s="47">
        <v>22</v>
      </c>
      <c r="E46" s="47">
        <v>7</v>
      </c>
      <c r="F46" s="47"/>
      <c r="G46" s="47">
        <v>30</v>
      </c>
      <c r="H46" s="60"/>
      <c r="I46" s="61">
        <v>42816</v>
      </c>
      <c r="J46" s="49">
        <f>Table11[[#This Row],[Date plantation]]-Table11[[#This Row],[Date semis]]</f>
        <v>0</v>
      </c>
      <c r="K46" s="61">
        <v>42816</v>
      </c>
      <c r="L46" s="49">
        <f t="shared" si="3"/>
        <v>44</v>
      </c>
      <c r="M46" s="116">
        <v>42860</v>
      </c>
      <c r="N46" s="116" t="s">
        <v>32</v>
      </c>
      <c r="O46" s="97"/>
      <c r="P46" s="97"/>
      <c r="Q46" s="97"/>
      <c r="R46" s="97"/>
      <c r="S46" s="97"/>
      <c r="T46" s="97">
        <v>30</v>
      </c>
      <c r="U46" s="97">
        <v>20</v>
      </c>
      <c r="V46" s="97">
        <f>7+7</f>
        <v>14</v>
      </c>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47"/>
      <c r="BC46" s="48">
        <v>42870</v>
      </c>
      <c r="BD46" s="49">
        <f t="shared" si="2"/>
        <v>10</v>
      </c>
      <c r="BE46" s="49">
        <f>SUM(Table11[[#This Row],[S13]:[S52]])</f>
        <v>64</v>
      </c>
      <c r="BF46" s="49">
        <v>1.1000000000000001</v>
      </c>
      <c r="BG46" s="49">
        <v>20</v>
      </c>
      <c r="BH46" s="49">
        <f>Table11[[#This Row],[Quantité récolté]]*Table11[[#This Row],[Prix de vente Moy.]]/Table11[[#This Row],[Surface cultivée (m²)]]</f>
        <v>3.5200000000000005</v>
      </c>
      <c r="BI46" s="51"/>
      <c r="BJ46" s="49"/>
      <c r="BK46" s="49"/>
      <c r="BL46" s="47"/>
      <c r="BM46" s="47"/>
      <c r="BN46" s="47"/>
      <c r="BO46" s="47"/>
      <c r="BP46" s="47"/>
      <c r="BQ46" s="47"/>
      <c r="BR46" s="47"/>
      <c r="BS46" s="47"/>
    </row>
    <row r="47" spans="1:71" s="59" customFormat="1" ht="12.75" customHeight="1">
      <c r="A47" s="47" t="s">
        <v>790</v>
      </c>
      <c r="B47" s="59" t="s">
        <v>573</v>
      </c>
      <c r="C47" s="47" t="s">
        <v>784</v>
      </c>
      <c r="D47" s="47">
        <v>18</v>
      </c>
      <c r="E47" s="47"/>
      <c r="F47" s="47"/>
      <c r="G47" s="47">
        <v>7</v>
      </c>
      <c r="H47" s="60">
        <v>45</v>
      </c>
      <c r="I47" s="61">
        <v>42817</v>
      </c>
      <c r="J47" s="49">
        <f>Table11[[#This Row],[Date plantation]]-Table11[[#This Row],[Date semis]]</f>
        <v>14</v>
      </c>
      <c r="K47" s="61">
        <v>42831</v>
      </c>
      <c r="L47" s="49">
        <f t="shared" si="3"/>
        <v>92</v>
      </c>
      <c r="M47" s="116">
        <v>42909</v>
      </c>
      <c r="N47" s="116" t="s">
        <v>33</v>
      </c>
      <c r="O47" s="97"/>
      <c r="P47" s="97"/>
      <c r="Q47" s="97"/>
      <c r="R47" s="97"/>
      <c r="S47" s="97"/>
      <c r="T47" s="97"/>
      <c r="U47" s="97"/>
      <c r="V47" s="97"/>
      <c r="W47" s="97"/>
      <c r="X47" s="97"/>
      <c r="Y47" s="97"/>
      <c r="Z47" s="97"/>
      <c r="AA47" s="97">
        <v>2</v>
      </c>
      <c r="AB47" s="97">
        <v>7</v>
      </c>
      <c r="AC47" s="97">
        <f>6+2+2</f>
        <v>10</v>
      </c>
      <c r="AD47" s="97">
        <v>15</v>
      </c>
      <c r="AE47" s="97">
        <f>72/6</f>
        <v>12</v>
      </c>
      <c r="AF47" s="97">
        <v>10</v>
      </c>
      <c r="AG47" s="97">
        <v>6</v>
      </c>
      <c r="AH47" s="97">
        <v>6</v>
      </c>
      <c r="AI47" s="97"/>
      <c r="AJ47" s="97"/>
      <c r="AK47" s="97"/>
      <c r="AL47" s="97"/>
      <c r="AM47" s="97"/>
      <c r="AN47" s="97"/>
      <c r="AO47" s="97"/>
      <c r="AP47" s="97"/>
      <c r="AQ47" s="97"/>
      <c r="AR47" s="97"/>
      <c r="AS47" s="97"/>
      <c r="AT47" s="97"/>
      <c r="AU47" s="97"/>
      <c r="AV47" s="97"/>
      <c r="AW47" s="97"/>
      <c r="AX47" s="97"/>
      <c r="AY47" s="97"/>
      <c r="AZ47" s="97"/>
      <c r="BA47" s="97"/>
      <c r="BB47" s="47"/>
      <c r="BC47" s="48">
        <v>42954</v>
      </c>
      <c r="BD47" s="49">
        <f t="shared" si="2"/>
        <v>45</v>
      </c>
      <c r="BE47" s="49">
        <f>SUM(Table11[[#This Row],[S13]:[S52]])</f>
        <v>68</v>
      </c>
      <c r="BF47" s="49">
        <v>1.8</v>
      </c>
      <c r="BG47" s="49">
        <v>16</v>
      </c>
      <c r="BH47" s="49">
        <f>Table11[[#This Row],[Quantité récolté]]*Table11[[#This Row],[Prix de vente Moy.]]/Table11[[#This Row],[Surface cultivée (m²)]]</f>
        <v>7.65</v>
      </c>
      <c r="BI47" s="51"/>
      <c r="BJ47" s="49"/>
      <c r="BK47" s="49"/>
      <c r="BL47" s="47"/>
      <c r="BM47" s="47"/>
      <c r="BN47" s="47"/>
      <c r="BO47" s="47"/>
      <c r="BP47" s="47"/>
      <c r="BQ47" s="47"/>
      <c r="BR47" s="47"/>
      <c r="BS47" s="47"/>
    </row>
    <row r="48" spans="1:71" s="59" customFormat="1" ht="12.75" customHeight="1">
      <c r="A48" s="47" t="s">
        <v>789</v>
      </c>
      <c r="B48" s="59" t="s">
        <v>783</v>
      </c>
      <c r="C48" s="47" t="s">
        <v>785</v>
      </c>
      <c r="D48" s="47">
        <v>15</v>
      </c>
      <c r="E48" s="47"/>
      <c r="F48" s="47"/>
      <c r="G48" s="47">
        <v>7</v>
      </c>
      <c r="H48" s="60">
        <v>45</v>
      </c>
      <c r="I48" s="61">
        <v>42817</v>
      </c>
      <c r="J48" s="49">
        <f>Table11[[#This Row],[Date plantation]]-Table11[[#This Row],[Date semis]]</f>
        <v>14</v>
      </c>
      <c r="K48" s="61">
        <v>42831</v>
      </c>
      <c r="L48" s="49">
        <f t="shared" si="3"/>
        <v>85</v>
      </c>
      <c r="M48" s="116">
        <v>42902</v>
      </c>
      <c r="N48" s="116" t="s">
        <v>33</v>
      </c>
      <c r="O48" s="97"/>
      <c r="P48" s="97"/>
      <c r="Q48" s="97"/>
      <c r="R48" s="97"/>
      <c r="S48" s="97"/>
      <c r="T48" s="97"/>
      <c r="U48" s="97"/>
      <c r="V48" s="97"/>
      <c r="W48" s="97"/>
      <c r="X48" s="97"/>
      <c r="Y48" s="97"/>
      <c r="Z48" s="97">
        <v>1</v>
      </c>
      <c r="AA48" s="97">
        <v>6</v>
      </c>
      <c r="AB48" s="97">
        <v>10</v>
      </c>
      <c r="AC48" s="97">
        <f>5+4+4+4</f>
        <v>17</v>
      </c>
      <c r="AD48" s="97">
        <v>15</v>
      </c>
      <c r="AE48" s="97">
        <f>72/6</f>
        <v>12</v>
      </c>
      <c r="AF48" s="97">
        <v>10</v>
      </c>
      <c r="AG48" s="97">
        <v>6</v>
      </c>
      <c r="AH48" s="97">
        <v>6</v>
      </c>
      <c r="AI48" s="97">
        <v>5</v>
      </c>
      <c r="AJ48" s="97">
        <v>2</v>
      </c>
      <c r="AK48" s="97">
        <v>1</v>
      </c>
      <c r="AL48" s="97">
        <v>1</v>
      </c>
      <c r="AM48" s="97">
        <v>1</v>
      </c>
      <c r="AN48" s="97"/>
      <c r="AO48" s="97"/>
      <c r="AP48" s="97"/>
      <c r="AQ48" s="97"/>
      <c r="AR48" s="97"/>
      <c r="AS48" s="97"/>
      <c r="AT48" s="97"/>
      <c r="AU48" s="97"/>
      <c r="AV48" s="97"/>
      <c r="AW48" s="97"/>
      <c r="AX48" s="97"/>
      <c r="AY48" s="97"/>
      <c r="AZ48" s="97"/>
      <c r="BA48" s="97"/>
      <c r="BB48" s="47"/>
      <c r="BC48" s="48">
        <v>42989</v>
      </c>
      <c r="BD48" s="49">
        <f t="shared" si="2"/>
        <v>87</v>
      </c>
      <c r="BE48" s="49">
        <f>SUM(Table11[[#This Row],[S13]:[S52]])</f>
        <v>93</v>
      </c>
      <c r="BF48" s="49">
        <v>1.8</v>
      </c>
      <c r="BG48" s="49">
        <v>17</v>
      </c>
      <c r="BH48" s="49">
        <f>Table11[[#This Row],[Quantité récolté]]*Table11[[#This Row],[Prix de vente Moy.]]/Table11[[#This Row],[Surface cultivée (m²)]]</f>
        <v>9.8470588235294123</v>
      </c>
      <c r="BI48" s="51"/>
      <c r="BJ48" s="49"/>
      <c r="BK48" s="49"/>
      <c r="BL48" s="47"/>
      <c r="BM48" s="47"/>
      <c r="BN48" s="47"/>
      <c r="BO48" s="47"/>
      <c r="BP48" s="47"/>
      <c r="BQ48" s="47"/>
      <c r="BR48" s="47"/>
      <c r="BS48" s="47"/>
    </row>
    <row r="49" spans="1:71" s="59" customFormat="1" ht="12.75" customHeight="1">
      <c r="A49" s="47" t="s">
        <v>808</v>
      </c>
      <c r="B49" s="59" t="s">
        <v>637</v>
      </c>
      <c r="C49" s="47" t="s">
        <v>726</v>
      </c>
      <c r="D49" s="47">
        <v>16</v>
      </c>
      <c r="E49" s="47">
        <v>4</v>
      </c>
      <c r="F49" s="47">
        <v>10</v>
      </c>
      <c r="G49" s="47">
        <v>15</v>
      </c>
      <c r="H49" s="60">
        <v>1100</v>
      </c>
      <c r="I49" s="61">
        <v>42817</v>
      </c>
      <c r="J49" s="49">
        <f>Table11[[#This Row],[Date plantation]]-Table11[[#This Row],[Date semis]]</f>
        <v>20</v>
      </c>
      <c r="K49" s="61">
        <v>42837</v>
      </c>
      <c r="L49" s="49">
        <f t="shared" si="3"/>
        <v>71</v>
      </c>
      <c r="M49" s="116">
        <v>42888</v>
      </c>
      <c r="N49" s="116" t="s">
        <v>32</v>
      </c>
      <c r="O49" s="97"/>
      <c r="P49" s="97"/>
      <c r="Q49" s="97"/>
      <c r="R49" s="97"/>
      <c r="S49" s="97"/>
      <c r="T49" s="97"/>
      <c r="U49" s="97"/>
      <c r="V49" s="97"/>
      <c r="W49" s="97"/>
      <c r="X49" s="97">
        <v>1</v>
      </c>
      <c r="Y49" s="97">
        <v>17</v>
      </c>
      <c r="Z49" s="97">
        <v>17</v>
      </c>
      <c r="AA49" s="97">
        <v>6</v>
      </c>
      <c r="AB49" s="97">
        <v>5</v>
      </c>
      <c r="AC49" s="97">
        <v>7</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47"/>
      <c r="BC49" s="48">
        <v>42919</v>
      </c>
      <c r="BD49" s="49">
        <f t="shared" si="2"/>
        <v>31</v>
      </c>
      <c r="BE49" s="49">
        <f>SUM(Table11[[#This Row],[S13]:[S52]])</f>
        <v>53</v>
      </c>
      <c r="BF49" s="49">
        <v>2.2000000000000002</v>
      </c>
      <c r="BG49" s="49">
        <v>15</v>
      </c>
      <c r="BH49" s="49">
        <f>Table11[[#This Row],[Quantité récolté]]*Table11[[#This Row],[Prix de vente Moy.]]/Table11[[#This Row],[Surface cultivée (m²)]]</f>
        <v>7.7733333333333343</v>
      </c>
      <c r="BI49" s="51"/>
      <c r="BJ49" s="49"/>
      <c r="BK49" s="49"/>
      <c r="BL49" s="47"/>
      <c r="BM49" s="47"/>
      <c r="BN49" s="47"/>
      <c r="BO49" s="47"/>
      <c r="BP49" s="47"/>
      <c r="BQ49" s="47"/>
      <c r="BR49" s="47"/>
      <c r="BS49" s="47"/>
    </row>
    <row r="50" spans="1:71" s="59" customFormat="1" ht="12.75" customHeight="1">
      <c r="A50" s="47" t="s">
        <v>809</v>
      </c>
      <c r="B50" s="59" t="s">
        <v>662</v>
      </c>
      <c r="C50" s="47" t="s">
        <v>721</v>
      </c>
      <c r="D50" s="47">
        <v>6</v>
      </c>
      <c r="E50" s="47">
        <v>4</v>
      </c>
      <c r="F50" s="47">
        <v>10</v>
      </c>
      <c r="G50" s="47">
        <v>2</v>
      </c>
      <c r="H50" s="60">
        <v>400</v>
      </c>
      <c r="I50" s="61">
        <v>42817</v>
      </c>
      <c r="J50" s="49">
        <f>Table11[[#This Row],[Date plantation]]-Table11[[#This Row],[Date semis]]</f>
        <v>20</v>
      </c>
      <c r="K50" s="61">
        <v>42837</v>
      </c>
      <c r="L50" s="49">
        <f t="shared" si="3"/>
        <v>68</v>
      </c>
      <c r="M50" s="116">
        <v>42885</v>
      </c>
      <c r="N50" s="116" t="s">
        <v>32</v>
      </c>
      <c r="O50" s="97"/>
      <c r="P50" s="97"/>
      <c r="Q50" s="97"/>
      <c r="R50" s="97"/>
      <c r="S50" s="97"/>
      <c r="T50" s="97"/>
      <c r="U50" s="97"/>
      <c r="V50" s="97"/>
      <c r="W50" s="97"/>
      <c r="X50" s="97">
        <v>19</v>
      </c>
      <c r="Y50" s="97">
        <v>16</v>
      </c>
      <c r="Z50" s="97">
        <v>6</v>
      </c>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47"/>
      <c r="BC50" s="48">
        <v>42898</v>
      </c>
      <c r="BD50" s="49">
        <f t="shared" si="2"/>
        <v>13</v>
      </c>
      <c r="BE50" s="49">
        <f>SUM(Table11[[#This Row],[S13]:[S52]])</f>
        <v>41</v>
      </c>
      <c r="BF50" s="49">
        <v>1.9</v>
      </c>
      <c r="BG50" s="49">
        <v>6</v>
      </c>
      <c r="BH50" s="49">
        <f>Table11[[#This Row],[Quantité récolté]]*Table11[[#This Row],[Prix de vente Moy.]]/Table11[[#This Row],[Surface cultivée (m²)]]</f>
        <v>12.983333333333333</v>
      </c>
      <c r="BI50" s="51"/>
      <c r="BJ50" s="49"/>
      <c r="BK50" s="49"/>
      <c r="BL50" s="47"/>
      <c r="BM50" s="47"/>
      <c r="BN50" s="47"/>
      <c r="BO50" s="47"/>
      <c r="BP50" s="47"/>
      <c r="BQ50" s="47"/>
      <c r="BR50" s="47"/>
      <c r="BS50" s="47"/>
    </row>
    <row r="51" spans="1:71" s="59" customFormat="1" ht="12.75" customHeight="1">
      <c r="A51" s="47" t="s">
        <v>844</v>
      </c>
      <c r="B51" s="59" t="s">
        <v>585</v>
      </c>
      <c r="C51" s="47" t="s">
        <v>794</v>
      </c>
      <c r="D51" s="47"/>
      <c r="E51" s="47"/>
      <c r="F51" s="47"/>
      <c r="G51" s="47"/>
      <c r="H51" s="60">
        <v>100</v>
      </c>
      <c r="I51" s="61">
        <v>42831</v>
      </c>
      <c r="J51" s="49">
        <f>Table11[[#This Row],[Date plantation]]-Table11[[#This Row],[Date semis]]</f>
        <v>55</v>
      </c>
      <c r="K51" s="61">
        <v>42886</v>
      </c>
      <c r="L51" s="49">
        <f t="shared" si="3"/>
        <v>54</v>
      </c>
      <c r="M51" s="116">
        <v>42885</v>
      </c>
      <c r="N51" s="116" t="s">
        <v>33</v>
      </c>
      <c r="O51" s="97"/>
      <c r="P51" s="97"/>
      <c r="Q51" s="97"/>
      <c r="R51" s="97"/>
      <c r="S51" s="97"/>
      <c r="T51" s="97"/>
      <c r="U51" s="97"/>
      <c r="V51" s="97"/>
      <c r="W51" s="97"/>
      <c r="X51" s="97"/>
      <c r="Y51" s="97"/>
      <c r="Z51" s="97"/>
      <c r="AA51" s="97"/>
      <c r="AB51" s="97"/>
      <c r="AC51" s="97"/>
      <c r="AD51" s="97"/>
      <c r="AE51" s="97"/>
      <c r="AF51" s="97"/>
      <c r="AG51" s="97"/>
      <c r="AH51" s="97">
        <v>2</v>
      </c>
      <c r="AI51" s="97">
        <v>6.5</v>
      </c>
      <c r="AJ51" s="97">
        <v>11</v>
      </c>
      <c r="AK51" s="97">
        <v>26</v>
      </c>
      <c r="AL51" s="97">
        <v>80</v>
      </c>
      <c r="AM51" s="97">
        <v>32</v>
      </c>
      <c r="AN51" s="97">
        <v>10</v>
      </c>
      <c r="AO51" s="97">
        <v>12</v>
      </c>
      <c r="AP51" s="97">
        <v>6</v>
      </c>
      <c r="AQ51" s="97">
        <v>4</v>
      </c>
      <c r="AR51" s="97">
        <v>2</v>
      </c>
      <c r="AS51" s="97">
        <v>2</v>
      </c>
      <c r="AT51" s="97">
        <v>1</v>
      </c>
      <c r="AU51" s="97"/>
      <c r="AV51" s="97"/>
      <c r="AW51" s="97"/>
      <c r="AX51" s="97"/>
      <c r="AY51" s="97"/>
      <c r="AZ51" s="97"/>
      <c r="BA51" s="97"/>
      <c r="BB51" s="47"/>
      <c r="BC51" s="48">
        <v>43038</v>
      </c>
      <c r="BD51" s="49">
        <f t="shared" si="2"/>
        <v>153</v>
      </c>
      <c r="BE51" s="49">
        <f>SUM(Table11[[#This Row],[S13]:[S52]])</f>
        <v>194.5</v>
      </c>
      <c r="BF51" s="49">
        <v>2</v>
      </c>
      <c r="BG51" s="49">
        <v>30</v>
      </c>
      <c r="BH51" s="49">
        <f>Table11[[#This Row],[Quantité récolté]]*Table11[[#This Row],[Prix de vente Moy.]]/Table11[[#This Row],[Surface cultivée (m²)]]</f>
        <v>12.966666666666667</v>
      </c>
      <c r="BI51" s="51"/>
      <c r="BJ51" s="49"/>
      <c r="BK51" s="49"/>
      <c r="BL51" s="47"/>
      <c r="BM51" s="47"/>
      <c r="BN51" s="47"/>
      <c r="BO51" s="47"/>
      <c r="BP51" s="47"/>
      <c r="BQ51" s="47"/>
      <c r="BR51" s="47"/>
      <c r="BS51" s="47"/>
    </row>
    <row r="52" spans="1:71" s="59" customFormat="1" ht="12.75" customHeight="1">
      <c r="A52" s="47" t="s">
        <v>762</v>
      </c>
      <c r="B52" s="59" t="s">
        <v>791</v>
      </c>
      <c r="C52" s="47" t="s">
        <v>793</v>
      </c>
      <c r="D52" s="47"/>
      <c r="E52" s="47"/>
      <c r="F52" s="47"/>
      <c r="G52" s="47"/>
      <c r="H52" s="60">
        <v>100</v>
      </c>
      <c r="I52" s="61">
        <v>42831</v>
      </c>
      <c r="J52" s="49">
        <f>Table11[[#This Row],[Date plantation]]-Table11[[#This Row],[Date semis]]</f>
        <v>55</v>
      </c>
      <c r="K52" s="61">
        <v>42886</v>
      </c>
      <c r="L52" s="49">
        <f t="shared" si="3"/>
        <v>55</v>
      </c>
      <c r="M52" s="116">
        <v>42886</v>
      </c>
      <c r="N52" s="116" t="s">
        <v>33</v>
      </c>
      <c r="O52" s="97"/>
      <c r="P52" s="97"/>
      <c r="Q52" s="97"/>
      <c r="R52" s="97"/>
      <c r="S52" s="97"/>
      <c r="T52" s="97"/>
      <c r="U52" s="97"/>
      <c r="V52" s="97"/>
      <c r="W52" s="97"/>
      <c r="X52" s="97"/>
      <c r="Y52" s="97"/>
      <c r="Z52" s="97"/>
      <c r="AA52" s="97"/>
      <c r="AB52" s="97"/>
      <c r="AC52" s="97"/>
      <c r="AD52" s="97"/>
      <c r="AE52" s="97"/>
      <c r="AF52" s="97"/>
      <c r="AG52" s="97"/>
      <c r="AH52" s="97">
        <v>5</v>
      </c>
      <c r="AI52" s="97">
        <v>5</v>
      </c>
      <c r="AJ52" s="97">
        <v>10</v>
      </c>
      <c r="AK52" s="97">
        <v>45</v>
      </c>
      <c r="AL52" s="97">
        <v>40</v>
      </c>
      <c r="AM52" s="97">
        <v>13</v>
      </c>
      <c r="AN52" s="97">
        <v>5</v>
      </c>
      <c r="AO52" s="97">
        <v>5</v>
      </c>
      <c r="AP52" s="97">
        <v>10</v>
      </c>
      <c r="AQ52" s="97">
        <v>10</v>
      </c>
      <c r="AR52" s="97">
        <v>15</v>
      </c>
      <c r="AS52" s="97">
        <v>10</v>
      </c>
      <c r="AT52" s="97">
        <v>5</v>
      </c>
      <c r="AU52" s="97"/>
      <c r="AV52" s="97"/>
      <c r="AW52" s="97"/>
      <c r="AX52" s="97"/>
      <c r="AY52" s="97"/>
      <c r="AZ52" s="97"/>
      <c r="BA52" s="97"/>
      <c r="BB52" s="47"/>
      <c r="BC52" s="48">
        <v>43038</v>
      </c>
      <c r="BD52" s="49">
        <f t="shared" si="2"/>
        <v>152</v>
      </c>
      <c r="BE52" s="49">
        <f>SUM(Table11[[#This Row],[S13]:[S52]])</f>
        <v>178</v>
      </c>
      <c r="BF52" s="49">
        <v>3.2</v>
      </c>
      <c r="BG52" s="49">
        <v>30</v>
      </c>
      <c r="BH52" s="49">
        <f>Table11[[#This Row],[Quantité récolté]]*Table11[[#This Row],[Prix de vente Moy.]]/Table11[[#This Row],[Surface cultivée (m²)]]</f>
        <v>18.986666666666668</v>
      </c>
      <c r="BI52" s="51"/>
      <c r="BJ52" s="49"/>
      <c r="BK52" s="49"/>
      <c r="BL52" s="47"/>
      <c r="BM52" s="47"/>
      <c r="BN52" s="47"/>
      <c r="BO52" s="47"/>
      <c r="BP52" s="47"/>
      <c r="BQ52" s="47"/>
      <c r="BR52" s="47"/>
      <c r="BS52" s="47"/>
    </row>
    <row r="53" spans="1:71" s="59" customFormat="1" ht="12.75" customHeight="1">
      <c r="A53" s="47" t="s">
        <v>742</v>
      </c>
      <c r="B53" s="59" t="s">
        <v>792</v>
      </c>
      <c r="C53" s="47" t="s">
        <v>745</v>
      </c>
      <c r="D53" s="47"/>
      <c r="E53" s="47"/>
      <c r="F53" s="47"/>
      <c r="G53" s="47"/>
      <c r="H53" s="60">
        <v>100</v>
      </c>
      <c r="I53" s="61">
        <v>42831</v>
      </c>
      <c r="J53" s="49">
        <f>Table11[[#This Row],[Date plantation]]-Table11[[#This Row],[Date semis]]</f>
        <v>55</v>
      </c>
      <c r="K53" s="61">
        <v>42886</v>
      </c>
      <c r="L53" s="49">
        <f t="shared" si="3"/>
        <v>55</v>
      </c>
      <c r="M53" s="116">
        <v>42886</v>
      </c>
      <c r="N53" s="116" t="s">
        <v>33</v>
      </c>
      <c r="O53" s="97"/>
      <c r="P53" s="97"/>
      <c r="Q53" s="97"/>
      <c r="R53" s="97"/>
      <c r="S53" s="97"/>
      <c r="T53" s="97"/>
      <c r="U53" s="97"/>
      <c r="V53" s="97"/>
      <c r="W53" s="97"/>
      <c r="X53" s="97"/>
      <c r="Y53" s="97"/>
      <c r="Z53" s="97"/>
      <c r="AA53" s="97"/>
      <c r="AB53" s="97"/>
      <c r="AC53" s="97"/>
      <c r="AD53" s="97"/>
      <c r="AE53" s="97"/>
      <c r="AF53" s="97"/>
      <c r="AG53" s="97"/>
      <c r="AH53" s="97">
        <v>3</v>
      </c>
      <c r="AI53" s="97">
        <v>5</v>
      </c>
      <c r="AJ53" s="97">
        <v>2</v>
      </c>
      <c r="AK53" s="97">
        <v>2</v>
      </c>
      <c r="AL53" s="97">
        <v>15</v>
      </c>
      <c r="AM53" s="97">
        <v>8</v>
      </c>
      <c r="AN53" s="97">
        <v>5</v>
      </c>
      <c r="AO53" s="97">
        <v>8</v>
      </c>
      <c r="AP53" s="97">
        <v>10</v>
      </c>
      <c r="AQ53" s="97">
        <v>5</v>
      </c>
      <c r="AR53" s="97">
        <v>15</v>
      </c>
      <c r="AS53" s="97">
        <v>10</v>
      </c>
      <c r="AT53" s="97">
        <v>5</v>
      </c>
      <c r="AU53" s="97"/>
      <c r="AV53" s="97"/>
      <c r="AW53" s="97"/>
      <c r="AX53" s="97"/>
      <c r="AY53" s="97"/>
      <c r="AZ53" s="97"/>
      <c r="BA53" s="97"/>
      <c r="BB53" s="47"/>
      <c r="BC53" s="48">
        <v>43038</v>
      </c>
      <c r="BD53" s="49">
        <f t="shared" si="2"/>
        <v>152</v>
      </c>
      <c r="BE53" s="49">
        <f>SUM(Table11[[#This Row],[S13]:[S52]])</f>
        <v>93</v>
      </c>
      <c r="BF53" s="49">
        <v>2.5</v>
      </c>
      <c r="BG53" s="49">
        <v>22</v>
      </c>
      <c r="BH53" s="49">
        <f>Table11[[#This Row],[Quantité récolté]]*Table11[[#This Row],[Prix de vente Moy.]]/Table11[[#This Row],[Surface cultivée (m²)]]</f>
        <v>10.568181818181818</v>
      </c>
      <c r="BI53" s="51"/>
      <c r="BJ53" s="49"/>
      <c r="BK53" s="49"/>
      <c r="BL53" s="47"/>
      <c r="BM53" s="47"/>
      <c r="BN53" s="47"/>
      <c r="BO53" s="47"/>
      <c r="BP53" s="47"/>
      <c r="BQ53" s="47"/>
      <c r="BR53" s="47"/>
      <c r="BS53" s="47"/>
    </row>
    <row r="54" spans="1:71" s="59" customFormat="1" ht="12.75" customHeight="1">
      <c r="A54" s="47" t="s">
        <v>807</v>
      </c>
      <c r="B54" s="59" t="s">
        <v>603</v>
      </c>
      <c r="C54" s="47" t="s">
        <v>716</v>
      </c>
      <c r="D54" s="47">
        <v>3</v>
      </c>
      <c r="E54" s="47">
        <v>4</v>
      </c>
      <c r="F54" s="47">
        <v>30</v>
      </c>
      <c r="G54" s="47">
        <v>0.2</v>
      </c>
      <c r="H54" s="60">
        <v>100</v>
      </c>
      <c r="I54" s="61">
        <v>42831</v>
      </c>
      <c r="J54" s="49">
        <f>Table11[[#This Row],[Date plantation]]-Table11[[#This Row],[Date semis]]</f>
        <v>21</v>
      </c>
      <c r="K54" s="61">
        <v>42852</v>
      </c>
      <c r="L54" s="49">
        <f t="shared" si="3"/>
        <v>75</v>
      </c>
      <c r="M54" s="116">
        <v>42906</v>
      </c>
      <c r="N54" s="116" t="s">
        <v>1902</v>
      </c>
      <c r="O54" s="97"/>
      <c r="P54" s="97"/>
      <c r="Q54" s="97"/>
      <c r="R54" s="97"/>
      <c r="S54" s="97"/>
      <c r="T54" s="97"/>
      <c r="U54" s="97"/>
      <c r="V54" s="97"/>
      <c r="W54" s="97"/>
      <c r="X54" s="97"/>
      <c r="Y54" s="97"/>
      <c r="Z54" s="97"/>
      <c r="AA54" s="97">
        <v>17</v>
      </c>
      <c r="AB54" s="97">
        <v>13</v>
      </c>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47"/>
      <c r="BC54" s="48">
        <v>42912</v>
      </c>
      <c r="BD54" s="49">
        <f t="shared" si="2"/>
        <v>6</v>
      </c>
      <c r="BE54" s="49">
        <f>SUM(Table11[[#This Row],[S13]:[S52]])</f>
        <v>30</v>
      </c>
      <c r="BF54" s="49">
        <v>1</v>
      </c>
      <c r="BG54" s="49">
        <v>5</v>
      </c>
      <c r="BH54" s="49">
        <f>Table11[[#This Row],[Quantité récolté]]*Table11[[#This Row],[Prix de vente Moy.]]/Table11[[#This Row],[Surface cultivée (m²)]]</f>
        <v>6</v>
      </c>
      <c r="BI54" s="51"/>
      <c r="BJ54" s="49"/>
      <c r="BK54" s="49"/>
      <c r="BL54" s="47"/>
      <c r="BM54" s="47"/>
      <c r="BN54" s="47"/>
      <c r="BO54" s="47"/>
      <c r="BP54" s="47"/>
      <c r="BQ54" s="47"/>
      <c r="BR54" s="47"/>
      <c r="BS54" s="47"/>
    </row>
    <row r="55" spans="1:71" s="59" customFormat="1" ht="12.75" customHeight="1">
      <c r="A55" s="47" t="s">
        <v>807</v>
      </c>
      <c r="B55" s="59" t="s">
        <v>795</v>
      </c>
      <c r="C55" s="47" t="s">
        <v>769</v>
      </c>
      <c r="D55" s="47">
        <v>8</v>
      </c>
      <c r="E55" s="47">
        <v>4</v>
      </c>
      <c r="F55" s="47">
        <v>30</v>
      </c>
      <c r="G55" s="47">
        <v>0.2</v>
      </c>
      <c r="H55" s="60">
        <v>200</v>
      </c>
      <c r="I55" s="61">
        <v>42831</v>
      </c>
      <c r="J55" s="49">
        <f>Table11[[#This Row],[Date plantation]]-Table11[[#This Row],[Date semis]]</f>
        <v>21</v>
      </c>
      <c r="K55" s="61">
        <v>42852</v>
      </c>
      <c r="L55" s="49">
        <f t="shared" si="3"/>
        <v>75</v>
      </c>
      <c r="M55" s="116">
        <v>42906</v>
      </c>
      <c r="N55" s="116" t="s">
        <v>1902</v>
      </c>
      <c r="O55" s="97"/>
      <c r="P55" s="97"/>
      <c r="Q55" s="97"/>
      <c r="R55" s="97"/>
      <c r="S55" s="97"/>
      <c r="T55" s="97"/>
      <c r="U55" s="97"/>
      <c r="V55" s="97"/>
      <c r="W55" s="97"/>
      <c r="X55" s="97"/>
      <c r="Y55" s="97"/>
      <c r="Z55" s="97"/>
      <c r="AA55" s="97">
        <v>28</v>
      </c>
      <c r="AB55" s="97">
        <v>21</v>
      </c>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47"/>
      <c r="BC55" s="48">
        <v>42912</v>
      </c>
      <c r="BD55" s="49">
        <f t="shared" si="2"/>
        <v>6</v>
      </c>
      <c r="BE55" s="49">
        <f>SUM(Table11[[#This Row],[S13]:[S52]])</f>
        <v>49</v>
      </c>
      <c r="BF55" s="49">
        <v>1</v>
      </c>
      <c r="BG55" s="49">
        <v>6</v>
      </c>
      <c r="BH55" s="49">
        <f>Table11[[#This Row],[Quantité récolté]]*Table11[[#This Row],[Prix de vente Moy.]]/Table11[[#This Row],[Surface cultivée (m²)]]</f>
        <v>8.1666666666666661</v>
      </c>
      <c r="BI55" s="51"/>
      <c r="BJ55" s="49"/>
      <c r="BK55" s="49"/>
      <c r="BL55" s="47"/>
      <c r="BM55" s="47"/>
      <c r="BN55" s="47"/>
      <c r="BO55" s="47"/>
      <c r="BP55" s="47"/>
      <c r="BQ55" s="47"/>
      <c r="BR55" s="47"/>
      <c r="BS55" s="47"/>
    </row>
    <row r="56" spans="1:71" s="59" customFormat="1" ht="12.75" customHeight="1">
      <c r="A56" s="47" t="s">
        <v>812</v>
      </c>
      <c r="B56" s="59" t="s">
        <v>627</v>
      </c>
      <c r="C56" s="47" t="s">
        <v>727</v>
      </c>
      <c r="D56" s="47">
        <v>11</v>
      </c>
      <c r="E56" s="47">
        <v>6</v>
      </c>
      <c r="F56" s="47">
        <v>10</v>
      </c>
      <c r="G56" s="47">
        <v>5</v>
      </c>
      <c r="H56" s="60">
        <v>700</v>
      </c>
      <c r="I56" s="61">
        <v>42838</v>
      </c>
      <c r="J56" s="49">
        <f>Table11[[#This Row],[Date plantation]]-Table11[[#This Row],[Date semis]]</f>
        <v>18</v>
      </c>
      <c r="K56" s="61">
        <v>42856</v>
      </c>
      <c r="L56" s="49">
        <f t="shared" si="3"/>
        <v>39</v>
      </c>
      <c r="M56" s="116">
        <v>42877</v>
      </c>
      <c r="N56" s="116" t="s">
        <v>33</v>
      </c>
      <c r="O56" s="97"/>
      <c r="P56" s="97"/>
      <c r="Q56" s="97"/>
      <c r="R56" s="97"/>
      <c r="S56" s="97"/>
      <c r="T56" s="97"/>
      <c r="U56" s="97"/>
      <c r="V56" s="97"/>
      <c r="W56" s="97">
        <v>15</v>
      </c>
      <c r="X56" s="97">
        <v>16</v>
      </c>
      <c r="Y56" s="97">
        <f>8+8+5</f>
        <v>21</v>
      </c>
      <c r="Z56" s="97">
        <v>15</v>
      </c>
      <c r="AA56" s="97">
        <v>7</v>
      </c>
      <c r="AB56" s="97">
        <v>7</v>
      </c>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47"/>
      <c r="BC56" s="48">
        <v>42912</v>
      </c>
      <c r="BD56" s="49">
        <f t="shared" si="2"/>
        <v>35</v>
      </c>
      <c r="BE56" s="49">
        <f>SUM(Table11[[#This Row],[S13]:[S52]])</f>
        <v>81</v>
      </c>
      <c r="BF56" s="49">
        <v>8</v>
      </c>
      <c r="BG56" s="49">
        <v>11</v>
      </c>
      <c r="BH56" s="49">
        <f>Table11[[#This Row],[Quantité récolté]]*Table11[[#This Row],[Prix de vente Moy.]]/Table11[[#This Row],[Surface cultivée (m²)]]</f>
        <v>58.909090909090907</v>
      </c>
      <c r="BI56" s="51"/>
      <c r="BJ56" s="49"/>
      <c r="BK56" s="49"/>
      <c r="BL56" s="47"/>
      <c r="BM56" s="47"/>
      <c r="BN56" s="47"/>
      <c r="BO56" s="47"/>
      <c r="BP56" s="47"/>
      <c r="BQ56" s="47"/>
      <c r="BR56" s="47"/>
      <c r="BS56" s="47"/>
    </row>
    <row r="57" spans="1:71" s="59" customFormat="1" ht="12.75" customHeight="1">
      <c r="A57" s="47" t="s">
        <v>837</v>
      </c>
      <c r="B57" s="59" t="s">
        <v>672</v>
      </c>
      <c r="C57" s="47" t="s">
        <v>720</v>
      </c>
      <c r="D57" s="47"/>
      <c r="E57" s="47"/>
      <c r="F57" s="47"/>
      <c r="G57" s="47">
        <v>4</v>
      </c>
      <c r="H57" s="60">
        <v>200</v>
      </c>
      <c r="I57" s="61">
        <v>42838</v>
      </c>
      <c r="J57" s="49">
        <f>Table11[[#This Row],[Date plantation]]-Table11[[#This Row],[Date semis]]</f>
        <v>35</v>
      </c>
      <c r="K57" s="61">
        <v>42873</v>
      </c>
      <c r="L57" s="49">
        <f t="shared" si="3"/>
        <v>67</v>
      </c>
      <c r="M57" s="116">
        <v>42905</v>
      </c>
      <c r="N57" s="116" t="s">
        <v>1903</v>
      </c>
      <c r="O57" s="97"/>
      <c r="P57" s="97"/>
      <c r="Q57" s="97"/>
      <c r="R57" s="97"/>
      <c r="S57" s="97"/>
      <c r="T57" s="97"/>
      <c r="U57" s="97"/>
      <c r="V57" s="97"/>
      <c r="W57" s="97"/>
      <c r="X57" s="97"/>
      <c r="Y57" s="97"/>
      <c r="Z57" s="97"/>
      <c r="AA57" s="97">
        <v>11</v>
      </c>
      <c r="AB57" s="97">
        <v>3</v>
      </c>
      <c r="AC57" s="97"/>
      <c r="AD57" s="97">
        <v>24</v>
      </c>
      <c r="AE57" s="97">
        <v>22</v>
      </c>
      <c r="AF57" s="97">
        <v>14</v>
      </c>
      <c r="AG57" s="97"/>
      <c r="AH57" s="97">
        <v>6</v>
      </c>
      <c r="AI57" s="97">
        <f>13+13</f>
        <v>26</v>
      </c>
      <c r="AJ57" s="97">
        <v>11</v>
      </c>
      <c r="AK57" s="97">
        <v>18</v>
      </c>
      <c r="AL57" s="97">
        <f>2+6</f>
        <v>8</v>
      </c>
      <c r="AM57" s="97">
        <v>10</v>
      </c>
      <c r="AN57" s="97">
        <v>8</v>
      </c>
      <c r="AO57" s="97"/>
      <c r="AP57" s="97"/>
      <c r="AQ57" s="97">
        <v>1</v>
      </c>
      <c r="AR57" s="97"/>
      <c r="AS57" s="97"/>
      <c r="AT57" s="97">
        <v>1</v>
      </c>
      <c r="AU57" s="97"/>
      <c r="AV57" s="97"/>
      <c r="AW57" s="97"/>
      <c r="AX57" s="97"/>
      <c r="AY57" s="97"/>
      <c r="AZ57" s="97"/>
      <c r="BA57" s="97"/>
      <c r="BB57" s="47"/>
      <c r="BC57" s="48">
        <v>43038</v>
      </c>
      <c r="BD57" s="49">
        <f t="shared" si="2"/>
        <v>133</v>
      </c>
      <c r="BE57" s="49">
        <f>SUM(Table11[[#This Row],[S13]:[S52]])</f>
        <v>163</v>
      </c>
      <c r="BF57" s="49">
        <v>1</v>
      </c>
      <c r="BG57" s="49">
        <v>5</v>
      </c>
      <c r="BH57" s="49">
        <f>Table11[[#This Row],[Quantité récolté]]*Table11[[#This Row],[Prix de vente Moy.]]/Table11[[#This Row],[Surface cultivée (m²)]]</f>
        <v>32.6</v>
      </c>
      <c r="BI57" s="51"/>
      <c r="BJ57" s="49"/>
      <c r="BK57" s="49"/>
      <c r="BL57" s="47"/>
      <c r="BM57" s="47"/>
      <c r="BN57" s="47"/>
      <c r="BO57" s="47"/>
      <c r="BP57" s="47"/>
      <c r="BQ57" s="47"/>
      <c r="BR57" s="47"/>
      <c r="BS57" s="47"/>
    </row>
    <row r="58" spans="1:71" s="59" customFormat="1" ht="12.75" customHeight="1">
      <c r="A58" s="47" t="s">
        <v>810</v>
      </c>
      <c r="B58" s="59" t="s">
        <v>797</v>
      </c>
      <c r="C58" s="47" t="s">
        <v>798</v>
      </c>
      <c r="D58" s="47">
        <v>44</v>
      </c>
      <c r="E58" s="47">
        <v>3</v>
      </c>
      <c r="F58" s="47">
        <v>30</v>
      </c>
      <c r="G58" s="47">
        <v>25000</v>
      </c>
      <c r="H58" s="60"/>
      <c r="I58" s="61">
        <v>42844</v>
      </c>
      <c r="J58" s="49">
        <f>Table11[[#This Row],[Date plantation]]-Table11[[#This Row],[Date semis]]</f>
        <v>0</v>
      </c>
      <c r="K58" s="61">
        <v>42844</v>
      </c>
      <c r="L58" s="49">
        <f t="shared" si="3"/>
        <v>76</v>
      </c>
      <c r="M58" s="116">
        <v>42920</v>
      </c>
      <c r="N58" s="116" t="s">
        <v>33</v>
      </c>
      <c r="O58" s="97"/>
      <c r="P58" s="97"/>
      <c r="Q58" s="97"/>
      <c r="R58" s="97"/>
      <c r="S58" s="97"/>
      <c r="T58" s="97"/>
      <c r="U58" s="97"/>
      <c r="V58" s="97"/>
      <c r="W58" s="97"/>
      <c r="X58" s="97"/>
      <c r="Y58" s="97"/>
      <c r="Z58" s="97"/>
      <c r="AA58" s="97"/>
      <c r="AB58" s="97"/>
      <c r="AC58" s="97">
        <v>21</v>
      </c>
      <c r="AD58" s="97">
        <v>12</v>
      </c>
      <c r="AE58" s="97">
        <f>11+10</f>
        <v>21</v>
      </c>
      <c r="AF58" s="97">
        <v>15</v>
      </c>
      <c r="AG58" s="97">
        <v>20</v>
      </c>
      <c r="AH58" s="97">
        <v>3</v>
      </c>
      <c r="AI58" s="97"/>
      <c r="AJ58" s="97"/>
      <c r="AK58" s="97"/>
      <c r="AL58" s="97"/>
      <c r="AM58" s="97"/>
      <c r="AN58" s="97"/>
      <c r="AO58" s="97"/>
      <c r="AP58" s="97"/>
      <c r="AQ58" s="97"/>
      <c r="AR58" s="97"/>
      <c r="AS58" s="97"/>
      <c r="AT58" s="97"/>
      <c r="AU58" s="97"/>
      <c r="AV58" s="97"/>
      <c r="AW58" s="97"/>
      <c r="AX58" s="97"/>
      <c r="AY58" s="97"/>
      <c r="AZ58" s="97"/>
      <c r="BA58" s="97"/>
      <c r="BB58" s="47"/>
      <c r="BC58" s="48">
        <v>42954</v>
      </c>
      <c r="BD58" s="49">
        <f t="shared" si="2"/>
        <v>34</v>
      </c>
      <c r="BE58" s="49">
        <f>SUM(Table11[[#This Row],[S13]:[S52]])</f>
        <v>92</v>
      </c>
      <c r="BF58" s="49">
        <v>2.9</v>
      </c>
      <c r="BG58" s="49">
        <v>44</v>
      </c>
      <c r="BH58" s="49">
        <f>Table11[[#This Row],[Quantité récolté]]*Table11[[#This Row],[Prix de vente Moy.]]/Table11[[#This Row],[Surface cultivée (m²)]]</f>
        <v>6.0636363636363635</v>
      </c>
      <c r="BI58" s="51"/>
      <c r="BJ58" s="49"/>
      <c r="BK58" s="49"/>
      <c r="BL58" s="47"/>
      <c r="BM58" s="47"/>
      <c r="BN58" s="47"/>
      <c r="BO58" s="47"/>
      <c r="BP58" s="47"/>
      <c r="BQ58" s="47"/>
      <c r="BR58" s="47"/>
      <c r="BS58" s="47"/>
    </row>
    <row r="59" spans="1:71" s="59" customFormat="1" ht="12.75" customHeight="1">
      <c r="A59" s="47" t="s">
        <v>811</v>
      </c>
      <c r="B59" s="59" t="s">
        <v>801</v>
      </c>
      <c r="C59" s="47" t="s">
        <v>799</v>
      </c>
      <c r="D59" s="47">
        <v>44</v>
      </c>
      <c r="E59" s="47">
        <v>3</v>
      </c>
      <c r="F59" s="47">
        <v>30</v>
      </c>
      <c r="G59" s="47">
        <v>25000</v>
      </c>
      <c r="H59" s="60"/>
      <c r="I59" s="61">
        <v>42844</v>
      </c>
      <c r="J59" s="49">
        <f>Table11[[#This Row],[Date plantation]]-Table11[[#This Row],[Date semis]]</f>
        <v>0</v>
      </c>
      <c r="K59" s="61">
        <v>42844</v>
      </c>
      <c r="L59" s="49">
        <f t="shared" si="3"/>
        <v>76</v>
      </c>
      <c r="M59" s="116">
        <v>42920</v>
      </c>
      <c r="N59" s="116" t="s">
        <v>33</v>
      </c>
      <c r="O59" s="97"/>
      <c r="P59" s="97"/>
      <c r="Q59" s="97"/>
      <c r="R59" s="97"/>
      <c r="S59" s="97"/>
      <c r="T59" s="97"/>
      <c r="U59" s="97"/>
      <c r="V59" s="97"/>
      <c r="W59" s="97"/>
      <c r="X59" s="97"/>
      <c r="Y59" s="97"/>
      <c r="Z59" s="97"/>
      <c r="AA59" s="97"/>
      <c r="AB59" s="97"/>
      <c r="AC59" s="97">
        <v>25</v>
      </c>
      <c r="AD59" s="97">
        <v>21</v>
      </c>
      <c r="AE59" s="97">
        <f>7+16</f>
        <v>23</v>
      </c>
      <c r="AF59" s="97">
        <v>15</v>
      </c>
      <c r="AG59" s="97"/>
      <c r="AH59" s="97">
        <v>13</v>
      </c>
      <c r="AI59" s="97"/>
      <c r="AJ59" s="97"/>
      <c r="AK59" s="97"/>
      <c r="AL59" s="97"/>
      <c r="AM59" s="97"/>
      <c r="AN59" s="97"/>
      <c r="AO59" s="97"/>
      <c r="AP59" s="97"/>
      <c r="AQ59" s="97"/>
      <c r="AR59" s="97"/>
      <c r="AS59" s="97"/>
      <c r="AT59" s="97"/>
      <c r="AU59" s="97"/>
      <c r="AV59" s="97"/>
      <c r="AW59" s="97"/>
      <c r="AX59" s="97"/>
      <c r="AY59" s="97"/>
      <c r="AZ59" s="97"/>
      <c r="BA59" s="97"/>
      <c r="BB59" s="47"/>
      <c r="BC59" s="48">
        <v>42954</v>
      </c>
      <c r="BD59" s="49">
        <f t="shared" si="2"/>
        <v>34</v>
      </c>
      <c r="BE59" s="49">
        <f>SUM(Table11[[#This Row],[S13]:[S52]])</f>
        <v>97</v>
      </c>
      <c r="BF59" s="49">
        <v>3</v>
      </c>
      <c r="BG59" s="49">
        <v>44</v>
      </c>
      <c r="BH59" s="49">
        <f>Table11[[#This Row],[Quantité récolté]]*Table11[[#This Row],[Prix de vente Moy.]]/Table11[[#This Row],[Surface cultivée (m²)]]</f>
        <v>6.6136363636363633</v>
      </c>
      <c r="BI59" s="51"/>
      <c r="BJ59" s="49"/>
      <c r="BK59" s="49"/>
      <c r="BL59" s="47"/>
      <c r="BM59" s="47"/>
      <c r="BN59" s="47"/>
      <c r="BO59" s="47"/>
      <c r="BP59" s="47"/>
      <c r="BQ59" s="47"/>
      <c r="BR59" s="47"/>
      <c r="BS59" s="47"/>
    </row>
    <row r="60" spans="1:71" s="59" customFormat="1" ht="12.75" customHeight="1">
      <c r="A60" s="47" t="s">
        <v>817</v>
      </c>
      <c r="B60" s="59" t="s">
        <v>574</v>
      </c>
      <c r="C60" s="47" t="s">
        <v>785</v>
      </c>
      <c r="D60" s="47">
        <v>13</v>
      </c>
      <c r="E60" s="47">
        <v>1</v>
      </c>
      <c r="F60" s="47">
        <v>50</v>
      </c>
      <c r="G60" s="47">
        <v>5</v>
      </c>
      <c r="H60" s="60">
        <v>30</v>
      </c>
      <c r="I60" s="61">
        <v>42844</v>
      </c>
      <c r="J60" s="49">
        <f>Table11[[#This Row],[Date plantation]]-Table11[[#This Row],[Date semis]]</f>
        <v>15</v>
      </c>
      <c r="K60" s="61">
        <v>42859</v>
      </c>
      <c r="L60" s="49">
        <f t="shared" si="3"/>
        <v>58</v>
      </c>
      <c r="M60" s="116">
        <v>42902</v>
      </c>
      <c r="N60" s="116" t="s">
        <v>33</v>
      </c>
      <c r="O60" s="97"/>
      <c r="P60" s="97"/>
      <c r="Q60" s="97"/>
      <c r="R60" s="97"/>
      <c r="S60" s="97"/>
      <c r="T60" s="97"/>
      <c r="U60" s="97"/>
      <c r="V60" s="97"/>
      <c r="W60" s="97"/>
      <c r="X60" s="97"/>
      <c r="Y60" s="97"/>
      <c r="Z60" s="97">
        <v>1</v>
      </c>
      <c r="AA60" s="97">
        <v>10</v>
      </c>
      <c r="AB60" s="97">
        <v>27</v>
      </c>
      <c r="AC60" s="97">
        <f>7+6+6+3</f>
        <v>22</v>
      </c>
      <c r="AD60" s="97">
        <v>25</v>
      </c>
      <c r="AE60" s="97">
        <v>12</v>
      </c>
      <c r="AF60" s="97">
        <v>15</v>
      </c>
      <c r="AG60" s="97">
        <v>12</v>
      </c>
      <c r="AH60" s="97">
        <v>6</v>
      </c>
      <c r="AI60" s="97">
        <v>5</v>
      </c>
      <c r="AJ60" s="97">
        <v>5</v>
      </c>
      <c r="AK60" s="97">
        <v>1</v>
      </c>
      <c r="AL60" s="97">
        <v>1</v>
      </c>
      <c r="AM60" s="97">
        <v>1</v>
      </c>
      <c r="AN60" s="97">
        <v>1</v>
      </c>
      <c r="AO60" s="97"/>
      <c r="AP60" s="97"/>
      <c r="AQ60" s="97"/>
      <c r="AR60" s="97"/>
      <c r="AS60" s="97"/>
      <c r="AT60" s="97"/>
      <c r="AU60" s="97"/>
      <c r="AV60" s="97"/>
      <c r="AW60" s="97"/>
      <c r="AX60" s="97"/>
      <c r="AY60" s="97"/>
      <c r="AZ60" s="97"/>
      <c r="BA60" s="97"/>
      <c r="BB60" s="47"/>
      <c r="BC60" s="48">
        <v>42996</v>
      </c>
      <c r="BD60" s="49">
        <f t="shared" si="2"/>
        <v>94</v>
      </c>
      <c r="BE60" s="49">
        <f>SUM(Table11[[#This Row],[S13]:[S52]])</f>
        <v>144</v>
      </c>
      <c r="BF60" s="49">
        <v>1.8</v>
      </c>
      <c r="BG60" s="49">
        <v>17</v>
      </c>
      <c r="BH60" s="49">
        <f>Table11[[#This Row],[Quantité récolté]]*Table11[[#This Row],[Prix de vente Moy.]]/Table11[[#This Row],[Surface cultivée (m²)]]</f>
        <v>15.247058823529411</v>
      </c>
      <c r="BI60" s="51"/>
      <c r="BJ60" s="49"/>
      <c r="BK60" s="49"/>
      <c r="BL60" s="47"/>
      <c r="BM60" s="47"/>
      <c r="BN60" s="47"/>
      <c r="BO60" s="47"/>
      <c r="BP60" s="47"/>
      <c r="BQ60" s="47"/>
      <c r="BR60" s="47"/>
      <c r="BS60" s="47"/>
    </row>
    <row r="61" spans="1:71" s="59" customFormat="1" ht="12.75" customHeight="1">
      <c r="A61" s="47" t="s">
        <v>818</v>
      </c>
      <c r="B61" s="59" t="s">
        <v>800</v>
      </c>
      <c r="C61" s="47" t="s">
        <v>802</v>
      </c>
      <c r="D61" s="47">
        <v>11</v>
      </c>
      <c r="E61" s="47">
        <v>1</v>
      </c>
      <c r="F61" s="47">
        <v>50</v>
      </c>
      <c r="G61" s="47">
        <v>8</v>
      </c>
      <c r="H61" s="60">
        <v>45</v>
      </c>
      <c r="I61" s="61">
        <v>42844</v>
      </c>
      <c r="J61" s="49">
        <f>Table11[[#This Row],[Date plantation]]-Table11[[#This Row],[Date semis]]</f>
        <v>15</v>
      </c>
      <c r="K61" s="61">
        <v>42859</v>
      </c>
      <c r="L61" s="49">
        <f t="shared" si="3"/>
        <v>65</v>
      </c>
      <c r="M61" s="116">
        <v>42909</v>
      </c>
      <c r="N61" s="116" t="s">
        <v>33</v>
      </c>
      <c r="O61" s="97"/>
      <c r="P61" s="97"/>
      <c r="Q61" s="97"/>
      <c r="R61" s="97"/>
      <c r="S61" s="97"/>
      <c r="T61" s="97"/>
      <c r="U61" s="97"/>
      <c r="V61" s="97"/>
      <c r="W61" s="97"/>
      <c r="X61" s="97"/>
      <c r="Y61" s="97"/>
      <c r="Z61" s="97"/>
      <c r="AA61" s="97">
        <v>1</v>
      </c>
      <c r="AB61" s="97">
        <v>5</v>
      </c>
      <c r="AC61" s="97">
        <f>2+2+2+1</f>
        <v>7</v>
      </c>
      <c r="AD61" s="97">
        <v>7</v>
      </c>
      <c r="AE61" s="97">
        <v>12</v>
      </c>
      <c r="AF61" s="97">
        <v>15</v>
      </c>
      <c r="AG61" s="97">
        <v>10</v>
      </c>
      <c r="AH61" s="97">
        <v>6</v>
      </c>
      <c r="AI61" s="97">
        <v>2</v>
      </c>
      <c r="AJ61" s="97">
        <v>3</v>
      </c>
      <c r="AK61" s="97">
        <v>1</v>
      </c>
      <c r="AL61" s="97">
        <v>1</v>
      </c>
      <c r="AM61" s="97">
        <v>1</v>
      </c>
      <c r="AN61" s="97">
        <v>1</v>
      </c>
      <c r="AO61" s="97"/>
      <c r="AP61" s="97"/>
      <c r="AQ61" s="97"/>
      <c r="AR61" s="97"/>
      <c r="AS61" s="97"/>
      <c r="AT61" s="97"/>
      <c r="AU61" s="97"/>
      <c r="AV61" s="97"/>
      <c r="AW61" s="97"/>
      <c r="AX61" s="97"/>
      <c r="AY61" s="97"/>
      <c r="AZ61" s="97"/>
      <c r="BA61" s="97"/>
      <c r="BB61" s="47"/>
      <c r="BC61" s="48">
        <v>42996</v>
      </c>
      <c r="BD61" s="49">
        <f t="shared" si="2"/>
        <v>87</v>
      </c>
      <c r="BE61" s="49">
        <f>SUM(Table11[[#This Row],[S13]:[S52]])</f>
        <v>72</v>
      </c>
      <c r="BF61" s="49">
        <v>1.8</v>
      </c>
      <c r="BG61" s="49">
        <v>16</v>
      </c>
      <c r="BH61" s="49">
        <f>Table11[[#This Row],[Quantité récolté]]*Table11[[#This Row],[Prix de vente Moy.]]/Table11[[#This Row],[Surface cultivée (m²)]]</f>
        <v>8.1</v>
      </c>
      <c r="BI61" s="51"/>
      <c r="BJ61" s="49"/>
      <c r="BK61" s="49"/>
      <c r="BL61" s="47"/>
      <c r="BM61" s="47"/>
      <c r="BN61" s="47"/>
      <c r="BO61" s="47"/>
      <c r="BP61" s="47"/>
      <c r="BQ61" s="47"/>
      <c r="BR61" s="47"/>
      <c r="BS61" s="47"/>
    </row>
    <row r="62" spans="1:71" s="59" customFormat="1" ht="12.75" customHeight="1">
      <c r="A62" s="47" t="s">
        <v>832</v>
      </c>
      <c r="B62" s="59" t="s">
        <v>701</v>
      </c>
      <c r="C62" s="47" t="s">
        <v>803</v>
      </c>
      <c r="D62" s="47">
        <v>22</v>
      </c>
      <c r="E62" s="47">
        <v>1</v>
      </c>
      <c r="F62" s="47">
        <v>50</v>
      </c>
      <c r="G62" s="47">
        <v>2</v>
      </c>
      <c r="H62" s="60">
        <v>45</v>
      </c>
      <c r="I62" s="61">
        <v>42844</v>
      </c>
      <c r="J62" s="49">
        <f>Table11[[#This Row],[Date plantation]]-Table11[[#This Row],[Date semis]]</f>
        <v>-42844</v>
      </c>
      <c r="K62" s="61"/>
      <c r="L62" s="49">
        <f t="shared" si="3"/>
        <v>104</v>
      </c>
      <c r="M62" s="116">
        <v>42948</v>
      </c>
      <c r="N62" s="116" t="s">
        <v>33</v>
      </c>
      <c r="O62" s="97"/>
      <c r="P62" s="97"/>
      <c r="Q62" s="97"/>
      <c r="R62" s="97"/>
      <c r="S62" s="97"/>
      <c r="T62" s="97"/>
      <c r="U62" s="97"/>
      <c r="V62" s="97"/>
      <c r="W62" s="97"/>
      <c r="X62" s="97"/>
      <c r="Y62" s="97"/>
      <c r="Z62" s="97"/>
      <c r="AA62" s="97"/>
      <c r="AB62" s="97"/>
      <c r="AC62" s="97"/>
      <c r="AD62" s="97"/>
      <c r="AE62" s="97"/>
      <c r="AF62" s="97"/>
      <c r="AG62" s="97">
        <v>1</v>
      </c>
      <c r="AH62" s="97"/>
      <c r="AI62" s="97">
        <v>1</v>
      </c>
      <c r="AJ62" s="97">
        <v>1</v>
      </c>
      <c r="AK62" s="97"/>
      <c r="AL62" s="97"/>
      <c r="AM62" s="97"/>
      <c r="AN62" s="97"/>
      <c r="AO62" s="97"/>
      <c r="AP62" s="97"/>
      <c r="AQ62" s="97"/>
      <c r="AR62" s="97"/>
      <c r="AS62" s="97"/>
      <c r="AT62" s="97"/>
      <c r="AU62" s="97"/>
      <c r="AV62" s="97"/>
      <c r="AW62" s="97"/>
      <c r="AX62" s="97"/>
      <c r="AY62" s="97"/>
      <c r="AZ62" s="97"/>
      <c r="BA62" s="97"/>
      <c r="BB62" s="47"/>
      <c r="BC62" s="48">
        <v>42968</v>
      </c>
      <c r="BD62" s="49">
        <f t="shared" si="2"/>
        <v>20</v>
      </c>
      <c r="BE62" s="49">
        <f>SUM(Table11[[#This Row],[S13]:[S52]])</f>
        <v>3</v>
      </c>
      <c r="BF62" s="49">
        <v>3</v>
      </c>
      <c r="BG62" s="49">
        <v>20</v>
      </c>
      <c r="BH62" s="49">
        <f>Table11[[#This Row],[Quantité récolté]]*Table11[[#This Row],[Prix de vente Moy.]]/Table11[[#This Row],[Surface cultivée (m²)]]</f>
        <v>0.45</v>
      </c>
      <c r="BI62" s="51"/>
      <c r="BJ62" s="49"/>
      <c r="BK62" s="49"/>
      <c r="BL62" s="47"/>
      <c r="BM62" s="47"/>
      <c r="BN62" s="47"/>
      <c r="BO62" s="47"/>
      <c r="BP62" s="47"/>
      <c r="BQ62" s="47"/>
      <c r="BR62" s="47"/>
      <c r="BS62" s="47"/>
    </row>
    <row r="63" spans="1:71" s="59" customFormat="1" ht="12.75" customHeight="1">
      <c r="A63" s="47" t="s">
        <v>829</v>
      </c>
      <c r="B63" s="59" t="s">
        <v>626</v>
      </c>
      <c r="C63" s="47" t="s">
        <v>769</v>
      </c>
      <c r="D63" s="47"/>
      <c r="E63" s="47"/>
      <c r="F63" s="47"/>
      <c r="G63" s="47"/>
      <c r="H63" s="60">
        <v>200</v>
      </c>
      <c r="I63" s="61">
        <v>42844</v>
      </c>
      <c r="J63" s="49">
        <f>Table11[[#This Row],[Date plantation]]-Table11[[#This Row],[Date semis]]</f>
        <v>30</v>
      </c>
      <c r="K63" s="61">
        <v>42874</v>
      </c>
      <c r="L63" s="49">
        <f t="shared" si="3"/>
        <v>76</v>
      </c>
      <c r="M63" s="116">
        <v>42920</v>
      </c>
      <c r="N63" s="116" t="s">
        <v>1902</v>
      </c>
      <c r="O63" s="97"/>
      <c r="P63" s="97"/>
      <c r="Q63" s="97"/>
      <c r="R63" s="97"/>
      <c r="S63" s="97"/>
      <c r="T63" s="97"/>
      <c r="U63" s="97"/>
      <c r="V63" s="97"/>
      <c r="W63" s="97"/>
      <c r="X63" s="97"/>
      <c r="Y63" s="97"/>
      <c r="Z63" s="97"/>
      <c r="AA63" s="97"/>
      <c r="AB63" s="97"/>
      <c r="AC63" s="97">
        <v>28</v>
      </c>
      <c r="AD63" s="97">
        <v>8</v>
      </c>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47"/>
      <c r="BC63" s="48">
        <v>42926</v>
      </c>
      <c r="BD63" s="49">
        <f t="shared" si="2"/>
        <v>6</v>
      </c>
      <c r="BE63" s="49">
        <f>SUM(Table11[[#This Row],[S13]:[S52]])</f>
        <v>36</v>
      </c>
      <c r="BF63" s="49">
        <v>1</v>
      </c>
      <c r="BG63" s="49">
        <v>6</v>
      </c>
      <c r="BH63" s="49">
        <f>Table11[[#This Row],[Quantité récolté]]*Table11[[#This Row],[Prix de vente Moy.]]/Table11[[#This Row],[Surface cultivée (m²)]]</f>
        <v>6</v>
      </c>
      <c r="BI63" s="51"/>
      <c r="BJ63" s="49"/>
      <c r="BK63" s="49"/>
      <c r="BL63" s="47"/>
      <c r="BM63" s="47"/>
      <c r="BN63" s="47"/>
      <c r="BO63" s="47"/>
      <c r="BP63" s="47"/>
      <c r="BQ63" s="47"/>
      <c r="BR63" s="47"/>
      <c r="BS63" s="47"/>
    </row>
    <row r="64" spans="1:71" s="59" customFormat="1" ht="12.75" customHeight="1">
      <c r="A64" s="47" t="s">
        <v>829</v>
      </c>
      <c r="B64" s="59" t="s">
        <v>804</v>
      </c>
      <c r="C64" s="47" t="s">
        <v>716</v>
      </c>
      <c r="D64" s="47"/>
      <c r="E64" s="47"/>
      <c r="F64" s="47"/>
      <c r="G64" s="47"/>
      <c r="H64" s="60">
        <v>100</v>
      </c>
      <c r="I64" s="61">
        <v>42844</v>
      </c>
      <c r="J64" s="49">
        <f>Table11[[#This Row],[Date plantation]]-Table11[[#This Row],[Date semis]]</f>
        <v>30</v>
      </c>
      <c r="K64" s="61">
        <v>42874</v>
      </c>
      <c r="L64" s="49">
        <f t="shared" si="3"/>
        <v>76</v>
      </c>
      <c r="M64" s="116">
        <v>42920</v>
      </c>
      <c r="N64" s="116" t="s">
        <v>1902</v>
      </c>
      <c r="O64" s="97"/>
      <c r="P64" s="97"/>
      <c r="Q64" s="97"/>
      <c r="R64" s="97"/>
      <c r="S64" s="97"/>
      <c r="T64" s="97"/>
      <c r="U64" s="97"/>
      <c r="V64" s="97"/>
      <c r="W64" s="97"/>
      <c r="X64" s="97"/>
      <c r="Y64" s="97"/>
      <c r="Z64" s="97"/>
      <c r="AA64" s="97"/>
      <c r="AB64" s="97"/>
      <c r="AC64" s="97">
        <v>18</v>
      </c>
      <c r="AD64" s="97">
        <v>4</v>
      </c>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47"/>
      <c r="BC64" s="48">
        <v>42926</v>
      </c>
      <c r="BD64" s="49">
        <f t="shared" si="2"/>
        <v>6</v>
      </c>
      <c r="BE64" s="49">
        <f>SUM(Table11[[#This Row],[S13]:[S52]])</f>
        <v>22</v>
      </c>
      <c r="BF64" s="49">
        <v>1</v>
      </c>
      <c r="BG64" s="49">
        <v>5</v>
      </c>
      <c r="BH64" s="49">
        <f>Table11[[#This Row],[Quantité récolté]]*Table11[[#This Row],[Prix de vente Moy.]]/Table11[[#This Row],[Surface cultivée (m²)]]</f>
        <v>4.4000000000000004</v>
      </c>
      <c r="BI64" s="51"/>
      <c r="BJ64" s="49"/>
      <c r="BK64" s="49"/>
      <c r="BL64" s="47"/>
      <c r="BM64" s="47"/>
      <c r="BN64" s="47"/>
      <c r="BO64" s="47"/>
      <c r="BP64" s="47"/>
      <c r="BQ64" s="47"/>
      <c r="BR64" s="47"/>
      <c r="BS64" s="47"/>
    </row>
    <row r="65" spans="1:71" s="59" customFormat="1" ht="12.75" customHeight="1">
      <c r="A65" s="47" t="s">
        <v>819</v>
      </c>
      <c r="B65" s="59" t="s">
        <v>805</v>
      </c>
      <c r="C65" s="47" t="s">
        <v>806</v>
      </c>
      <c r="D65" s="47">
        <v>11</v>
      </c>
      <c r="E65" s="47">
        <v>8</v>
      </c>
      <c r="F65" s="47">
        <v>10</v>
      </c>
      <c r="G65" s="47">
        <v>8</v>
      </c>
      <c r="H65" s="60"/>
      <c r="I65" s="61">
        <v>42846</v>
      </c>
      <c r="J65" s="49">
        <f>Table11[[#This Row],[Date plantation]]-Table11[[#This Row],[Date semis]]</f>
        <v>-42846</v>
      </c>
      <c r="K65" s="61"/>
      <c r="L65" s="49">
        <f t="shared" si="3"/>
        <v>77</v>
      </c>
      <c r="M65" s="116">
        <v>42923</v>
      </c>
      <c r="N65" s="116" t="s">
        <v>32</v>
      </c>
      <c r="O65" s="97"/>
      <c r="P65" s="97"/>
      <c r="Q65" s="97"/>
      <c r="R65" s="97"/>
      <c r="S65" s="97"/>
      <c r="T65" s="97"/>
      <c r="U65" s="97"/>
      <c r="V65" s="97"/>
      <c r="W65" s="97"/>
      <c r="X65" s="97"/>
      <c r="Y65" s="97"/>
      <c r="Z65" s="97"/>
      <c r="AA65" s="97"/>
      <c r="AB65" s="97"/>
      <c r="AC65" s="97">
        <v>4</v>
      </c>
      <c r="AD65" s="97">
        <v>2</v>
      </c>
      <c r="AE65" s="97">
        <v>1</v>
      </c>
      <c r="AF65" s="97">
        <v>24</v>
      </c>
      <c r="AG65" s="97">
        <v>8</v>
      </c>
      <c r="AH65" s="97"/>
      <c r="AI65" s="97"/>
      <c r="AJ65" s="97"/>
      <c r="AK65" s="97"/>
      <c r="AL65" s="97"/>
      <c r="AM65" s="97"/>
      <c r="AN65" s="97"/>
      <c r="AO65" s="97"/>
      <c r="AP65" s="97"/>
      <c r="AQ65" s="97"/>
      <c r="AR65" s="97"/>
      <c r="AS65" s="97"/>
      <c r="AT65" s="97"/>
      <c r="AU65" s="97"/>
      <c r="AV65" s="97"/>
      <c r="AW65" s="97"/>
      <c r="AX65" s="97"/>
      <c r="AY65" s="97"/>
      <c r="AZ65" s="97"/>
      <c r="BA65" s="97"/>
      <c r="BB65" s="47"/>
      <c r="BC65" s="48">
        <v>42947</v>
      </c>
      <c r="BD65" s="49">
        <f t="shared" si="2"/>
        <v>24</v>
      </c>
      <c r="BE65" s="49">
        <f>SUM(Table11[[#This Row],[S13]:[S52]])</f>
        <v>39</v>
      </c>
      <c r="BF65" s="49">
        <v>2.4</v>
      </c>
      <c r="BG65" s="49">
        <v>11</v>
      </c>
      <c r="BH65" s="49">
        <f>Table11[[#This Row],[Quantité récolté]]*Table11[[#This Row],[Prix de vente Moy.]]/Table11[[#This Row],[Surface cultivée (m²)]]</f>
        <v>8.5090909090909079</v>
      </c>
      <c r="BI65" s="51"/>
      <c r="BJ65" s="49"/>
      <c r="BK65" s="49"/>
      <c r="BL65" s="47"/>
      <c r="BM65" s="47"/>
      <c r="BN65" s="47"/>
      <c r="BO65" s="47"/>
      <c r="BP65" s="47"/>
      <c r="BQ65" s="47"/>
      <c r="BR65" s="47"/>
      <c r="BS65" s="47"/>
    </row>
    <row r="66" spans="1:71" s="59" customFormat="1" ht="12.75" customHeight="1">
      <c r="A66" s="47" t="s">
        <v>830</v>
      </c>
      <c r="B66" s="59" t="s">
        <v>638</v>
      </c>
      <c r="C66" s="47" t="s">
        <v>726</v>
      </c>
      <c r="D66" s="47">
        <v>16</v>
      </c>
      <c r="E66" s="47">
        <v>4</v>
      </c>
      <c r="F66" s="47">
        <v>10</v>
      </c>
      <c r="G66" s="47">
        <v>15</v>
      </c>
      <c r="H66" s="60">
        <v>1000</v>
      </c>
      <c r="I66" s="61">
        <v>42851</v>
      </c>
      <c r="J66" s="49">
        <f>Table11[[#This Row],[Date plantation]]-Table11[[#This Row],[Date semis]]</f>
        <v>22</v>
      </c>
      <c r="K66" s="61">
        <v>42873</v>
      </c>
      <c r="L66" s="49">
        <f t="shared" si="3"/>
        <v>76</v>
      </c>
      <c r="M66" s="116">
        <v>42927</v>
      </c>
      <c r="N66" s="116" t="s">
        <v>32</v>
      </c>
      <c r="O66" s="97"/>
      <c r="P66" s="97"/>
      <c r="Q66" s="97"/>
      <c r="R66" s="97"/>
      <c r="S66" s="97"/>
      <c r="T66" s="97"/>
      <c r="U66" s="97"/>
      <c r="V66" s="97"/>
      <c r="W66" s="97"/>
      <c r="X66" s="97"/>
      <c r="Y66" s="97"/>
      <c r="Z66" s="97"/>
      <c r="AA66" s="97"/>
      <c r="AB66" s="97"/>
      <c r="AC66" s="97"/>
      <c r="AD66" s="97">
        <v>13</v>
      </c>
      <c r="AE66" s="97"/>
      <c r="AF66" s="97">
        <v>8</v>
      </c>
      <c r="AG66" s="97">
        <v>5</v>
      </c>
      <c r="AH66" s="97"/>
      <c r="AI66" s="97"/>
      <c r="AJ66" s="97"/>
      <c r="AK66" s="97"/>
      <c r="AL66" s="97"/>
      <c r="AM66" s="97"/>
      <c r="AN66" s="97"/>
      <c r="AO66" s="97"/>
      <c r="AP66" s="97"/>
      <c r="AQ66" s="97"/>
      <c r="AR66" s="97"/>
      <c r="AS66" s="97"/>
      <c r="AT66" s="97"/>
      <c r="AU66" s="97"/>
      <c r="AV66" s="97"/>
      <c r="AW66" s="97"/>
      <c r="AX66" s="97"/>
      <c r="AY66" s="97"/>
      <c r="AZ66" s="97"/>
      <c r="BA66" s="97"/>
      <c r="BB66" s="47"/>
      <c r="BC66" s="48">
        <v>42947</v>
      </c>
      <c r="BD66" s="49">
        <f t="shared" ref="BD66:BD97" si="4">BC66-M66</f>
        <v>20</v>
      </c>
      <c r="BE66" s="49">
        <f>SUM(Table11[[#This Row],[S13]:[S52]])</f>
        <v>26</v>
      </c>
      <c r="BF66" s="49">
        <v>2.2000000000000002</v>
      </c>
      <c r="BG66" s="49">
        <v>15</v>
      </c>
      <c r="BH66" s="49">
        <f>Table11[[#This Row],[Quantité récolté]]*Table11[[#This Row],[Prix de vente Moy.]]/Table11[[#This Row],[Surface cultivée (m²)]]</f>
        <v>3.8133333333333335</v>
      </c>
      <c r="BI66" s="51"/>
      <c r="BJ66" s="49"/>
      <c r="BK66" s="49"/>
      <c r="BL66" s="47"/>
      <c r="BM66" s="47"/>
      <c r="BN66" s="47"/>
      <c r="BO66" s="47"/>
      <c r="BP66" s="47"/>
      <c r="BQ66" s="47"/>
      <c r="BR66" s="47"/>
      <c r="BS66" s="47"/>
    </row>
    <row r="67" spans="1:71" s="59" customFormat="1" ht="12.75" customHeight="1">
      <c r="A67" s="84" t="s">
        <v>756</v>
      </c>
      <c r="B67" s="85" t="s">
        <v>820</v>
      </c>
      <c r="C67" s="47" t="s">
        <v>821</v>
      </c>
      <c r="D67" s="47">
        <v>33</v>
      </c>
      <c r="E67" s="47">
        <v>3</v>
      </c>
      <c r="F67" s="47">
        <v>30</v>
      </c>
      <c r="G67" s="47">
        <f>9*150/3</f>
        <v>450</v>
      </c>
      <c r="H67" s="60"/>
      <c r="I67" s="61">
        <v>42859</v>
      </c>
      <c r="J67" s="49">
        <f>Table11[[#This Row],[Date plantation]]-Table11[[#This Row],[Date semis]]</f>
        <v>-42859</v>
      </c>
      <c r="K67" s="61"/>
      <c r="L67" s="49">
        <f t="shared" ref="L67:L98" si="5">M67-I67</f>
        <v>-42859</v>
      </c>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47"/>
      <c r="BC67" s="48"/>
      <c r="BD67" s="49">
        <f t="shared" si="4"/>
        <v>0</v>
      </c>
      <c r="BE67" s="49">
        <f>SUM(Table11[[#This Row],[S13]:[S52]])</f>
        <v>0</v>
      </c>
      <c r="BF67" s="49"/>
      <c r="BG67" s="49"/>
      <c r="BH67" s="49" t="e">
        <f>Table11[[#This Row],[Quantité récolté]]*Table11[[#This Row],[Prix de vente Moy.]]/Table11[[#This Row],[Surface cultivée (m²)]]</f>
        <v>#DIV/0!</v>
      </c>
      <c r="BI67" s="51"/>
      <c r="BJ67" s="49"/>
      <c r="BK67" s="49"/>
      <c r="BL67" s="47"/>
      <c r="BM67" s="47"/>
      <c r="BN67" s="47"/>
      <c r="BO67" s="47"/>
      <c r="BP67" s="47"/>
      <c r="BQ67" s="47"/>
      <c r="BR67" s="47"/>
      <c r="BS67" s="47"/>
    </row>
    <row r="68" spans="1:71" s="59" customFormat="1" ht="12.75" customHeight="1">
      <c r="A68" s="47" t="s">
        <v>840</v>
      </c>
      <c r="B68" s="59" t="s">
        <v>628</v>
      </c>
      <c r="C68" s="47" t="s">
        <v>769</v>
      </c>
      <c r="D68" s="47">
        <v>11</v>
      </c>
      <c r="E68" s="47">
        <v>4</v>
      </c>
      <c r="F68" s="47">
        <v>30</v>
      </c>
      <c r="G68" s="47">
        <v>0.5</v>
      </c>
      <c r="H68" s="60">
        <v>200</v>
      </c>
      <c r="I68" s="61">
        <v>42863</v>
      </c>
      <c r="J68" s="49">
        <f>Table11[[#This Row],[Date plantation]]-Table11[[#This Row],[Date semis]]</f>
        <v>18</v>
      </c>
      <c r="K68" s="61">
        <v>42881</v>
      </c>
      <c r="L68" s="49">
        <f t="shared" si="5"/>
        <v>67</v>
      </c>
      <c r="M68" s="116">
        <v>42930</v>
      </c>
      <c r="N68" s="116" t="s">
        <v>1902</v>
      </c>
      <c r="O68" s="97"/>
      <c r="P68" s="97"/>
      <c r="Q68" s="97"/>
      <c r="R68" s="97"/>
      <c r="S68" s="97"/>
      <c r="T68" s="97"/>
      <c r="U68" s="97"/>
      <c r="V68" s="97"/>
      <c r="W68" s="97"/>
      <c r="X68" s="97"/>
      <c r="Y68" s="97"/>
      <c r="Z68" s="97"/>
      <c r="AA68" s="97"/>
      <c r="AB68" s="97"/>
      <c r="AC68" s="97"/>
      <c r="AD68" s="97"/>
      <c r="AE68" s="97">
        <f>9+36</f>
        <v>45</v>
      </c>
      <c r="AF68" s="97">
        <v>10</v>
      </c>
      <c r="AG68" s="97"/>
      <c r="AH68" s="97"/>
      <c r="AI68" s="97"/>
      <c r="AJ68" s="97"/>
      <c r="AK68" s="97"/>
      <c r="AL68" s="97"/>
      <c r="AM68" s="97"/>
      <c r="AN68" s="97"/>
      <c r="AO68" s="97"/>
      <c r="AP68" s="97"/>
      <c r="AQ68" s="97"/>
      <c r="AR68" s="97"/>
      <c r="AS68" s="97"/>
      <c r="AT68" s="97"/>
      <c r="AU68" s="97"/>
      <c r="AV68" s="97"/>
      <c r="AW68" s="97"/>
      <c r="AX68" s="97"/>
      <c r="AY68" s="97"/>
      <c r="AZ68" s="97"/>
      <c r="BA68" s="97"/>
      <c r="BB68" s="47"/>
      <c r="BC68" s="48">
        <v>42940</v>
      </c>
      <c r="BD68" s="49">
        <f t="shared" si="4"/>
        <v>10</v>
      </c>
      <c r="BE68" s="49">
        <f>SUM(Table11[[#This Row],[S13]:[S52]])</f>
        <v>55</v>
      </c>
      <c r="BF68" s="49">
        <v>1</v>
      </c>
      <c r="BG68" s="49">
        <v>11</v>
      </c>
      <c r="BH68" s="49">
        <f>Table11[[#This Row],[Quantité récolté]]*Table11[[#This Row],[Prix de vente Moy.]]/Table11[[#This Row],[Surface cultivée (m²)]]</f>
        <v>5</v>
      </c>
      <c r="BI68" s="51"/>
      <c r="BJ68" s="49"/>
      <c r="BK68" s="49"/>
      <c r="BL68" s="47"/>
      <c r="BM68" s="47"/>
      <c r="BN68" s="47"/>
      <c r="BO68" s="47"/>
      <c r="BP68" s="47"/>
      <c r="BQ68" s="47"/>
      <c r="BR68" s="47"/>
      <c r="BS68" s="47"/>
    </row>
    <row r="69" spans="1:71" s="59" customFormat="1" ht="12.75" customHeight="1">
      <c r="A69" s="84" t="s">
        <v>823</v>
      </c>
      <c r="B69" s="85" t="s">
        <v>625</v>
      </c>
      <c r="C69" s="47" t="s">
        <v>824</v>
      </c>
      <c r="D69" s="47">
        <v>22</v>
      </c>
      <c r="E69" s="47">
        <v>6</v>
      </c>
      <c r="F69" s="47"/>
      <c r="G69" s="47">
        <v>15</v>
      </c>
      <c r="H69" s="60"/>
      <c r="I69" s="61">
        <v>42864</v>
      </c>
      <c r="J69" s="49">
        <f>Table11[[#This Row],[Date plantation]]-Table11[[#This Row],[Date semis]]</f>
        <v>0</v>
      </c>
      <c r="K69" s="61">
        <v>42864</v>
      </c>
      <c r="L69" s="49">
        <f t="shared" si="5"/>
        <v>-42864</v>
      </c>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47"/>
      <c r="BC69" s="48"/>
      <c r="BD69" s="49">
        <f t="shared" si="4"/>
        <v>0</v>
      </c>
      <c r="BE69" s="49">
        <f>SUM(Table11[[#This Row],[S13]:[S52]])</f>
        <v>0</v>
      </c>
      <c r="BF69" s="49"/>
      <c r="BG69" s="49"/>
      <c r="BH69" s="49" t="e">
        <f>Table11[[#This Row],[Quantité récolté]]*Table11[[#This Row],[Prix de vente Moy.]]/Table11[[#This Row],[Surface cultivée (m²)]]</f>
        <v>#DIV/0!</v>
      </c>
      <c r="BI69" s="51"/>
      <c r="BJ69" s="49"/>
      <c r="BK69" s="49"/>
      <c r="BL69" s="47"/>
      <c r="BM69" s="47"/>
      <c r="BN69" s="47"/>
      <c r="BO69" s="47"/>
      <c r="BP69" s="47"/>
      <c r="BQ69" s="47"/>
      <c r="BR69" s="47"/>
      <c r="BS69" s="47"/>
    </row>
    <row r="70" spans="1:71" s="59" customFormat="1" ht="12.75" customHeight="1">
      <c r="A70" s="84" t="s">
        <v>831</v>
      </c>
      <c r="B70" s="85" t="s">
        <v>825</v>
      </c>
      <c r="C70" s="47" t="s">
        <v>572</v>
      </c>
      <c r="D70" s="47">
        <v>40</v>
      </c>
      <c r="E70" s="47">
        <v>1</v>
      </c>
      <c r="F70" s="47">
        <v>60</v>
      </c>
      <c r="G70" s="47">
        <v>30</v>
      </c>
      <c r="H70" s="60">
        <v>90</v>
      </c>
      <c r="I70" s="61">
        <v>42872</v>
      </c>
      <c r="J70" s="49">
        <f>Table11[[#This Row],[Date plantation]]-Table11[[#This Row],[Date semis]]</f>
        <v>14</v>
      </c>
      <c r="K70" s="61">
        <v>42886</v>
      </c>
      <c r="L70" s="49">
        <f t="shared" si="5"/>
        <v>-42872</v>
      </c>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47"/>
      <c r="BC70" s="48"/>
      <c r="BD70" s="49">
        <f t="shared" si="4"/>
        <v>0</v>
      </c>
      <c r="BE70" s="49">
        <f>SUM(Table11[[#This Row],[S13]:[S52]])</f>
        <v>0</v>
      </c>
      <c r="BF70" s="49"/>
      <c r="BG70" s="49"/>
      <c r="BH70" s="49" t="e">
        <f>Table11[[#This Row],[Quantité récolté]]*Table11[[#This Row],[Prix de vente Moy.]]/Table11[[#This Row],[Surface cultivée (m²)]]</f>
        <v>#DIV/0!</v>
      </c>
      <c r="BI70" s="51"/>
      <c r="BJ70" s="49"/>
      <c r="BK70" s="49"/>
      <c r="BL70" s="47"/>
      <c r="BM70" s="47"/>
      <c r="BN70" s="47"/>
      <c r="BO70" s="47"/>
      <c r="BP70" s="47"/>
      <c r="BQ70" s="47"/>
      <c r="BR70" s="47"/>
      <c r="BS70" s="47"/>
    </row>
    <row r="71" spans="1:71" s="59" customFormat="1" ht="12.75" customHeight="1">
      <c r="A71" s="47" t="s">
        <v>841</v>
      </c>
      <c r="B71" s="59" t="s">
        <v>575</v>
      </c>
      <c r="C71" s="47" t="s">
        <v>802</v>
      </c>
      <c r="D71" s="47">
        <v>6</v>
      </c>
      <c r="E71" s="47">
        <v>1</v>
      </c>
      <c r="F71" s="47">
        <v>50</v>
      </c>
      <c r="G71" s="47">
        <v>8</v>
      </c>
      <c r="H71" s="60">
        <v>45</v>
      </c>
      <c r="I71" s="61">
        <v>42872</v>
      </c>
      <c r="J71" s="49">
        <f>Table11[[#This Row],[Date plantation]]-Table11[[#This Row],[Date semis]]</f>
        <v>13</v>
      </c>
      <c r="K71" s="61">
        <v>42885</v>
      </c>
      <c r="L71" s="49">
        <f t="shared" si="5"/>
        <v>54</v>
      </c>
      <c r="M71" s="116">
        <v>42926</v>
      </c>
      <c r="N71" s="116" t="s">
        <v>33</v>
      </c>
      <c r="O71" s="97"/>
      <c r="P71" s="97"/>
      <c r="Q71" s="97"/>
      <c r="R71" s="97"/>
      <c r="S71" s="97"/>
      <c r="T71" s="97"/>
      <c r="U71" s="97"/>
      <c r="V71" s="97"/>
      <c r="W71" s="97"/>
      <c r="X71" s="97"/>
      <c r="Y71" s="97"/>
      <c r="Z71" s="97"/>
      <c r="AA71" s="97"/>
      <c r="AB71" s="97"/>
      <c r="AC71" s="97"/>
      <c r="AD71" s="97">
        <v>2</v>
      </c>
      <c r="AE71" s="97">
        <v>5</v>
      </c>
      <c r="AF71" s="97">
        <v>5</v>
      </c>
      <c r="AG71" s="97">
        <v>6</v>
      </c>
      <c r="AH71" s="97">
        <v>6</v>
      </c>
      <c r="AI71" s="97">
        <v>1</v>
      </c>
      <c r="AJ71" s="97">
        <v>1</v>
      </c>
      <c r="AK71" s="97">
        <v>1</v>
      </c>
      <c r="AL71" s="97">
        <v>1</v>
      </c>
      <c r="AM71" s="97">
        <v>1</v>
      </c>
      <c r="AN71" s="97">
        <v>1</v>
      </c>
      <c r="AO71" s="97"/>
      <c r="AP71" s="97"/>
      <c r="AQ71" s="97"/>
      <c r="AR71" s="97"/>
      <c r="AS71" s="97"/>
      <c r="AT71" s="97"/>
      <c r="AU71" s="97"/>
      <c r="AV71" s="97"/>
      <c r="AW71" s="97"/>
      <c r="AX71" s="97"/>
      <c r="AY71" s="97"/>
      <c r="AZ71" s="97"/>
      <c r="BA71" s="97"/>
      <c r="BB71" s="47"/>
      <c r="BC71" s="48">
        <v>42988</v>
      </c>
      <c r="BD71" s="49">
        <f t="shared" si="4"/>
        <v>62</v>
      </c>
      <c r="BE71" s="49">
        <f>SUM(Table11[[#This Row],[S13]:[S52]])</f>
        <v>30</v>
      </c>
      <c r="BF71" s="49">
        <v>1.8</v>
      </c>
      <c r="BG71" s="49">
        <v>10</v>
      </c>
      <c r="BH71" s="49">
        <f>Table11[[#This Row],[Quantité récolté]]*Table11[[#This Row],[Prix de vente Moy.]]/Table11[[#This Row],[Surface cultivée (m²)]]</f>
        <v>5.4</v>
      </c>
      <c r="BI71" s="51"/>
      <c r="BJ71" s="49"/>
      <c r="BK71" s="49"/>
      <c r="BL71" s="47"/>
      <c r="BM71" s="47"/>
      <c r="BN71" s="47"/>
      <c r="BO71" s="47"/>
      <c r="BP71" s="47"/>
      <c r="BQ71" s="47"/>
      <c r="BR71" s="47"/>
      <c r="BS71" s="47"/>
    </row>
    <row r="72" spans="1:71" s="59" customFormat="1" ht="12.75" customHeight="1">
      <c r="A72" s="47" t="s">
        <v>842</v>
      </c>
      <c r="B72" s="59" t="s">
        <v>826</v>
      </c>
      <c r="C72" s="47" t="s">
        <v>784</v>
      </c>
      <c r="D72" s="47">
        <v>22</v>
      </c>
      <c r="E72" s="47">
        <v>1</v>
      </c>
      <c r="F72" s="47">
        <v>50</v>
      </c>
      <c r="G72" s="47">
        <v>8</v>
      </c>
      <c r="H72" s="60">
        <v>45</v>
      </c>
      <c r="I72" s="61">
        <v>42872</v>
      </c>
      <c r="J72" s="49">
        <f>Table11[[#This Row],[Date plantation]]-Table11[[#This Row],[Date semis]]</f>
        <v>13</v>
      </c>
      <c r="K72" s="61">
        <v>42885</v>
      </c>
      <c r="L72" s="49">
        <f t="shared" si="5"/>
        <v>47</v>
      </c>
      <c r="M72" s="116">
        <v>42919</v>
      </c>
      <c r="N72" s="116" t="s">
        <v>33</v>
      </c>
      <c r="O72" s="97"/>
      <c r="P72" s="97"/>
      <c r="Q72" s="97"/>
      <c r="R72" s="97"/>
      <c r="S72" s="97"/>
      <c r="T72" s="97"/>
      <c r="U72" s="97"/>
      <c r="V72" s="97"/>
      <c r="W72" s="97"/>
      <c r="X72" s="97"/>
      <c r="Y72" s="97"/>
      <c r="Z72" s="97"/>
      <c r="AA72" s="97"/>
      <c r="AB72" s="97"/>
      <c r="AC72" s="97">
        <v>2</v>
      </c>
      <c r="AD72" s="97">
        <v>2</v>
      </c>
      <c r="AE72" s="97">
        <v>5</v>
      </c>
      <c r="AF72" s="97">
        <v>5</v>
      </c>
      <c r="AG72" s="97">
        <v>6</v>
      </c>
      <c r="AH72" s="97">
        <v>6</v>
      </c>
      <c r="AI72" s="97">
        <v>5</v>
      </c>
      <c r="AJ72" s="97">
        <v>4</v>
      </c>
      <c r="AK72" s="97">
        <v>3</v>
      </c>
      <c r="AL72" s="97">
        <v>3</v>
      </c>
      <c r="AM72" s="97">
        <v>2</v>
      </c>
      <c r="AN72" s="97">
        <v>1</v>
      </c>
      <c r="AO72" s="97"/>
      <c r="AP72" s="97"/>
      <c r="AQ72" s="97"/>
      <c r="AR72" s="97"/>
      <c r="AS72" s="97"/>
      <c r="AT72" s="97"/>
      <c r="AU72" s="97"/>
      <c r="AV72" s="97"/>
      <c r="AW72" s="97"/>
      <c r="AX72" s="97"/>
      <c r="AY72" s="97"/>
      <c r="AZ72" s="97"/>
      <c r="BA72" s="97"/>
      <c r="BB72" s="47"/>
      <c r="BC72" s="48">
        <v>42988</v>
      </c>
      <c r="BD72" s="49">
        <f t="shared" si="4"/>
        <v>69</v>
      </c>
      <c r="BE72" s="49">
        <f>SUM(Table11[[#This Row],[S13]:[S52]])</f>
        <v>44</v>
      </c>
      <c r="BF72" s="49">
        <v>1.8</v>
      </c>
      <c r="BG72" s="49">
        <v>30</v>
      </c>
      <c r="BH72" s="49">
        <f>Table11[[#This Row],[Quantité récolté]]*Table11[[#This Row],[Prix de vente Moy.]]/Table11[[#This Row],[Surface cultivée (m²)]]</f>
        <v>2.64</v>
      </c>
      <c r="BI72" s="51"/>
      <c r="BJ72" s="49"/>
      <c r="BK72" s="49"/>
      <c r="BL72" s="47"/>
      <c r="BM72" s="47"/>
      <c r="BN72" s="47"/>
      <c r="BO72" s="47"/>
      <c r="BP72" s="47"/>
      <c r="BQ72" s="47"/>
      <c r="BR72" s="47"/>
      <c r="BS72" s="47"/>
    </row>
    <row r="73" spans="1:71" s="59" customFormat="1" ht="12.75" customHeight="1">
      <c r="A73" s="47" t="s">
        <v>735</v>
      </c>
      <c r="B73" s="59" t="s">
        <v>457</v>
      </c>
      <c r="C73" s="47" t="s">
        <v>827</v>
      </c>
      <c r="D73" s="47">
        <v>22</v>
      </c>
      <c r="E73" s="47">
        <v>1</v>
      </c>
      <c r="F73" s="47">
        <v>60</v>
      </c>
      <c r="G73" s="47">
        <v>2</v>
      </c>
      <c r="H73" s="60">
        <v>45</v>
      </c>
      <c r="I73" s="61">
        <v>42872</v>
      </c>
      <c r="J73" s="49">
        <f>Table11[[#This Row],[Date plantation]]-Table11[[#This Row],[Date semis]]</f>
        <v>16</v>
      </c>
      <c r="K73" s="61">
        <v>42888</v>
      </c>
      <c r="L73" s="49">
        <f t="shared" si="5"/>
        <v>90</v>
      </c>
      <c r="M73" s="116">
        <v>42962</v>
      </c>
      <c r="N73" s="116" t="s">
        <v>33</v>
      </c>
      <c r="O73" s="97"/>
      <c r="P73" s="97"/>
      <c r="Q73" s="97"/>
      <c r="R73" s="97"/>
      <c r="S73" s="97"/>
      <c r="T73" s="97"/>
      <c r="U73" s="97"/>
      <c r="V73" s="97"/>
      <c r="W73" s="97"/>
      <c r="X73" s="97"/>
      <c r="Y73" s="97"/>
      <c r="Z73" s="97"/>
      <c r="AA73" s="97"/>
      <c r="AB73" s="97"/>
      <c r="AC73" s="97"/>
      <c r="AD73" s="97"/>
      <c r="AE73" s="97"/>
      <c r="AF73" s="97"/>
      <c r="AG73" s="97"/>
      <c r="AH73" s="97"/>
      <c r="AI73" s="97">
        <v>5</v>
      </c>
      <c r="AJ73" s="97">
        <v>1</v>
      </c>
      <c r="AK73" s="97">
        <v>3</v>
      </c>
      <c r="AL73" s="97">
        <v>3</v>
      </c>
      <c r="AM73" s="97"/>
      <c r="AN73" s="97"/>
      <c r="AO73" s="97"/>
      <c r="AP73" s="97"/>
      <c r="AQ73" s="97"/>
      <c r="AR73" s="97"/>
      <c r="AS73" s="97"/>
      <c r="AT73" s="97"/>
      <c r="AU73" s="97"/>
      <c r="AV73" s="97"/>
      <c r="AW73" s="97"/>
      <c r="AX73" s="97"/>
      <c r="AY73" s="97"/>
      <c r="AZ73" s="97"/>
      <c r="BA73" s="97"/>
      <c r="BB73" s="47"/>
      <c r="BC73" s="48">
        <v>42982</v>
      </c>
      <c r="BD73" s="49">
        <f t="shared" si="4"/>
        <v>20</v>
      </c>
      <c r="BE73" s="49">
        <f>SUM(Table11[[#This Row],[S13]:[S52]])</f>
        <v>12</v>
      </c>
      <c r="BF73" s="49">
        <v>3</v>
      </c>
      <c r="BG73" s="49">
        <v>20</v>
      </c>
      <c r="BH73" s="49">
        <f>Table11[[#This Row],[Quantité récolté]]*Table11[[#This Row],[Prix de vente Moy.]]/Table11[[#This Row],[Surface cultivée (m²)]]</f>
        <v>1.8</v>
      </c>
      <c r="BI73" s="51"/>
      <c r="BJ73" s="49"/>
      <c r="BK73" s="49"/>
      <c r="BL73" s="47"/>
      <c r="BM73" s="47"/>
      <c r="BN73" s="47"/>
      <c r="BO73" s="47"/>
      <c r="BP73" s="47"/>
      <c r="BQ73" s="47"/>
      <c r="BR73" s="47"/>
      <c r="BS73" s="47"/>
    </row>
    <row r="74" spans="1:71" s="59" customFormat="1" ht="12.75" customHeight="1">
      <c r="A74" s="84" t="s">
        <v>836</v>
      </c>
      <c r="B74" s="85" t="s">
        <v>828</v>
      </c>
      <c r="C74" s="47" t="s">
        <v>821</v>
      </c>
      <c r="D74" s="47">
        <v>33</v>
      </c>
      <c r="E74" s="47">
        <v>3</v>
      </c>
      <c r="F74" s="47">
        <v>30</v>
      </c>
      <c r="G74" s="47">
        <v>600</v>
      </c>
      <c r="H74" s="60"/>
      <c r="I74" s="61">
        <v>42873</v>
      </c>
      <c r="J74" s="49">
        <f>Table11[[#This Row],[Date plantation]]-Table11[[#This Row],[Date semis]]</f>
        <v>0</v>
      </c>
      <c r="K74" s="61">
        <v>42873</v>
      </c>
      <c r="L74" s="49">
        <f t="shared" si="5"/>
        <v>82</v>
      </c>
      <c r="M74" s="116">
        <v>42955</v>
      </c>
      <c r="N74" s="116"/>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47"/>
      <c r="BC74" s="48"/>
      <c r="BD74" s="49">
        <f t="shared" si="4"/>
        <v>-42955</v>
      </c>
      <c r="BE74" s="49">
        <f>SUM(Table11[[#This Row],[S13]:[S52]])</f>
        <v>0</v>
      </c>
      <c r="BF74" s="49"/>
      <c r="BG74" s="49"/>
      <c r="BH74" s="49" t="e">
        <f>Table11[[#This Row],[Quantité récolté]]*Table11[[#This Row],[Prix de vente Moy.]]/Table11[[#This Row],[Surface cultivée (m²)]]</f>
        <v>#DIV/0!</v>
      </c>
      <c r="BI74" s="51"/>
      <c r="BJ74" s="49"/>
      <c r="BK74" s="49"/>
      <c r="BL74" s="47"/>
      <c r="BM74" s="47"/>
      <c r="BN74" s="47"/>
      <c r="BO74" s="47"/>
      <c r="BP74" s="47"/>
      <c r="BQ74" s="47"/>
      <c r="BR74" s="47"/>
      <c r="BS74" s="47"/>
    </row>
    <row r="75" spans="1:71" s="59" customFormat="1" ht="12.75" customHeight="1">
      <c r="A75" s="47" t="s">
        <v>834</v>
      </c>
      <c r="B75" s="59" t="s">
        <v>629</v>
      </c>
      <c r="C75" s="47" t="s">
        <v>835</v>
      </c>
      <c r="D75" s="47">
        <v>11</v>
      </c>
      <c r="E75" s="47">
        <v>7</v>
      </c>
      <c r="F75" s="47">
        <v>5</v>
      </c>
      <c r="G75" s="47">
        <v>4</v>
      </c>
      <c r="H75" s="60"/>
      <c r="I75" s="61">
        <v>42873</v>
      </c>
      <c r="J75" s="49">
        <f>Table11[[#This Row],[Date plantation]]-Table11[[#This Row],[Date semis]]</f>
        <v>0</v>
      </c>
      <c r="K75" s="61">
        <v>42873</v>
      </c>
      <c r="L75" s="49">
        <f t="shared" si="5"/>
        <v>89</v>
      </c>
      <c r="M75" s="116">
        <v>42962</v>
      </c>
      <c r="N75" s="116" t="s">
        <v>32</v>
      </c>
      <c r="O75" s="97"/>
      <c r="P75" s="97"/>
      <c r="Q75" s="97"/>
      <c r="R75" s="97"/>
      <c r="S75" s="97"/>
      <c r="T75" s="97"/>
      <c r="U75" s="97"/>
      <c r="V75" s="97"/>
      <c r="W75" s="97"/>
      <c r="X75" s="97"/>
      <c r="Y75" s="97"/>
      <c r="Z75" s="97"/>
      <c r="AA75" s="97"/>
      <c r="AB75" s="97"/>
      <c r="AC75" s="97"/>
      <c r="AD75" s="97"/>
      <c r="AE75" s="97"/>
      <c r="AF75" s="97"/>
      <c r="AG75" s="97"/>
      <c r="AH75" s="97"/>
      <c r="AI75" s="97">
        <v>2</v>
      </c>
      <c r="AJ75" s="97">
        <v>10</v>
      </c>
      <c r="AK75" s="97"/>
      <c r="AL75" s="97"/>
      <c r="AM75" s="97"/>
      <c r="AN75" s="97"/>
      <c r="AO75" s="97"/>
      <c r="AP75" s="97"/>
      <c r="AQ75" s="97"/>
      <c r="AR75" s="97"/>
      <c r="AS75" s="97"/>
      <c r="AT75" s="97"/>
      <c r="AU75" s="97"/>
      <c r="AV75" s="97"/>
      <c r="AW75" s="97"/>
      <c r="AX75" s="97"/>
      <c r="AY75" s="97"/>
      <c r="AZ75" s="97"/>
      <c r="BA75" s="97"/>
      <c r="BB75" s="47"/>
      <c r="BC75" s="48">
        <v>42968</v>
      </c>
      <c r="BD75" s="49">
        <f t="shared" si="4"/>
        <v>6</v>
      </c>
      <c r="BE75" s="49">
        <f>SUM(Table11[[#This Row],[S13]:[S52]])</f>
        <v>12</v>
      </c>
      <c r="BF75" s="49">
        <v>2.4</v>
      </c>
      <c r="BG75" s="49">
        <v>11</v>
      </c>
      <c r="BH75" s="49">
        <f>Table11[[#This Row],[Quantité récolté]]*Table11[[#This Row],[Prix de vente Moy.]]/Table11[[#This Row],[Surface cultivée (m²)]]</f>
        <v>2.6181818181818177</v>
      </c>
      <c r="BI75" s="51"/>
      <c r="BJ75" s="49"/>
      <c r="BK75" s="49"/>
      <c r="BL75" s="47"/>
      <c r="BM75" s="47"/>
      <c r="BN75" s="47"/>
      <c r="BO75" s="47"/>
      <c r="BP75" s="47"/>
      <c r="BQ75" s="47"/>
      <c r="BR75" s="47"/>
      <c r="BS75" s="47"/>
    </row>
    <row r="76" spans="1:71" s="59" customFormat="1" ht="12.75" customHeight="1">
      <c r="A76" s="47" t="s">
        <v>832</v>
      </c>
      <c r="B76" s="59" t="s">
        <v>700</v>
      </c>
      <c r="C76" s="47" t="s">
        <v>803</v>
      </c>
      <c r="D76" s="47">
        <v>22</v>
      </c>
      <c r="E76" s="47">
        <v>1</v>
      </c>
      <c r="F76" s="47">
        <v>30</v>
      </c>
      <c r="G76" s="47">
        <v>2</v>
      </c>
      <c r="H76" s="60">
        <v>90</v>
      </c>
      <c r="I76" s="61">
        <v>42879</v>
      </c>
      <c r="J76" s="49">
        <f>Table11[[#This Row],[Date plantation]]-Table11[[#This Row],[Date semis]]</f>
        <v>-42879</v>
      </c>
      <c r="K76" s="61"/>
      <c r="L76" s="49">
        <f t="shared" si="5"/>
        <v>69</v>
      </c>
      <c r="M76" s="116">
        <v>42948</v>
      </c>
      <c r="N76" s="116" t="s">
        <v>33</v>
      </c>
      <c r="O76" s="97"/>
      <c r="P76" s="97"/>
      <c r="Q76" s="97"/>
      <c r="R76" s="97"/>
      <c r="S76" s="97"/>
      <c r="T76" s="97"/>
      <c r="U76" s="97"/>
      <c r="V76" s="97"/>
      <c r="W76" s="97"/>
      <c r="X76" s="97"/>
      <c r="Y76" s="97"/>
      <c r="Z76" s="97"/>
      <c r="AA76" s="97"/>
      <c r="AB76" s="97"/>
      <c r="AC76" s="97"/>
      <c r="AD76" s="97"/>
      <c r="AE76" s="97"/>
      <c r="AF76" s="97"/>
      <c r="AG76" s="97">
        <v>1</v>
      </c>
      <c r="AH76" s="97">
        <v>4</v>
      </c>
      <c r="AI76" s="97">
        <v>4</v>
      </c>
      <c r="AJ76" s="97">
        <v>1</v>
      </c>
      <c r="AK76" s="97">
        <v>2</v>
      </c>
      <c r="AL76" s="97">
        <v>1</v>
      </c>
      <c r="AM76" s="97"/>
      <c r="AN76" s="97"/>
      <c r="AO76" s="97"/>
      <c r="AP76" s="97"/>
      <c r="AQ76" s="97"/>
      <c r="AR76" s="97"/>
      <c r="AS76" s="97"/>
      <c r="AT76" s="97"/>
      <c r="AU76" s="97"/>
      <c r="AV76" s="97"/>
      <c r="AW76" s="97"/>
      <c r="AX76" s="97"/>
      <c r="AY76" s="97"/>
      <c r="AZ76" s="97"/>
      <c r="BA76" s="97"/>
      <c r="BB76" s="47"/>
      <c r="BC76" s="48">
        <v>42982</v>
      </c>
      <c r="BD76" s="49">
        <f t="shared" si="4"/>
        <v>34</v>
      </c>
      <c r="BE76" s="49">
        <f>SUM(Table11[[#This Row],[S13]:[S52]])</f>
        <v>13</v>
      </c>
      <c r="BF76" s="49">
        <v>3</v>
      </c>
      <c r="BG76" s="49">
        <v>20</v>
      </c>
      <c r="BH76" s="49">
        <f>Table11[[#This Row],[Quantité récolté]]*Table11[[#This Row],[Prix de vente Moy.]]/Table11[[#This Row],[Surface cultivée (m²)]]</f>
        <v>1.95</v>
      </c>
      <c r="BI76" s="51"/>
      <c r="BJ76" s="49"/>
      <c r="BK76" s="49"/>
      <c r="BL76" s="47"/>
      <c r="BM76" s="47"/>
      <c r="BN76" s="47"/>
      <c r="BO76" s="47"/>
      <c r="BP76" s="47"/>
      <c r="BQ76" s="47"/>
      <c r="BR76" s="47"/>
      <c r="BS76" s="47"/>
    </row>
    <row r="77" spans="1:71" s="59" customFormat="1" ht="12.75" customHeight="1">
      <c r="A77" s="47" t="s">
        <v>853</v>
      </c>
      <c r="B77" s="59" t="s">
        <v>669</v>
      </c>
      <c r="C77" s="47" t="s">
        <v>838</v>
      </c>
      <c r="D77" s="47">
        <v>11</v>
      </c>
      <c r="E77" s="47">
        <v>6</v>
      </c>
      <c r="F77" s="47">
        <v>10</v>
      </c>
      <c r="G77" s="47">
        <v>2.5</v>
      </c>
      <c r="H77" s="60">
        <v>900</v>
      </c>
      <c r="I77" s="61">
        <v>42879</v>
      </c>
      <c r="J77" s="49">
        <f>Table11[[#This Row],[Date plantation]]-Table11[[#This Row],[Date semis]]</f>
        <v>15</v>
      </c>
      <c r="K77" s="61">
        <v>42894</v>
      </c>
      <c r="L77" s="49">
        <f t="shared" si="5"/>
        <v>43</v>
      </c>
      <c r="M77" s="116">
        <v>42922</v>
      </c>
      <c r="N77" s="116" t="s">
        <v>33</v>
      </c>
      <c r="O77" s="97"/>
      <c r="P77" s="97"/>
      <c r="Q77" s="97"/>
      <c r="R77" s="97"/>
      <c r="S77" s="97"/>
      <c r="T77" s="97"/>
      <c r="U77" s="97"/>
      <c r="V77" s="97"/>
      <c r="W77" s="97"/>
      <c r="X77" s="97"/>
      <c r="Y77" s="97"/>
      <c r="Z77" s="97"/>
      <c r="AA77" s="97"/>
      <c r="AB77" s="97"/>
      <c r="AC77" s="97">
        <v>6</v>
      </c>
      <c r="AD77" s="97">
        <v>10</v>
      </c>
      <c r="AE77" s="97">
        <v>7</v>
      </c>
      <c r="AF77" s="97">
        <v>5</v>
      </c>
      <c r="AG77" s="97">
        <v>3</v>
      </c>
      <c r="AH77" s="97">
        <v>3</v>
      </c>
      <c r="AI77" s="97">
        <v>2</v>
      </c>
      <c r="AJ77" s="97">
        <v>1</v>
      </c>
      <c r="AK77" s="97">
        <v>1</v>
      </c>
      <c r="AL77" s="97"/>
      <c r="AM77" s="97"/>
      <c r="AN77" s="97"/>
      <c r="AO77" s="97"/>
      <c r="AP77" s="97"/>
      <c r="AQ77" s="97"/>
      <c r="AR77" s="97"/>
      <c r="AS77" s="97"/>
      <c r="AT77" s="97"/>
      <c r="AU77" s="97"/>
      <c r="AV77" s="97"/>
      <c r="AW77" s="97"/>
      <c r="AX77" s="97"/>
      <c r="AY77" s="97"/>
      <c r="AZ77" s="97"/>
      <c r="BA77" s="97"/>
      <c r="BB77" s="47"/>
      <c r="BC77" s="48">
        <v>42975</v>
      </c>
      <c r="BD77" s="49">
        <f t="shared" si="4"/>
        <v>53</v>
      </c>
      <c r="BE77" s="49">
        <f>SUM(Table11[[#This Row],[S13]:[S52]])</f>
        <v>38</v>
      </c>
      <c r="BF77" s="49">
        <v>8</v>
      </c>
      <c r="BG77" s="49">
        <v>15</v>
      </c>
      <c r="BH77" s="49">
        <f>Table11[[#This Row],[Quantité récolté]]*Table11[[#This Row],[Prix de vente Moy.]]/Table11[[#This Row],[Surface cultivée (m²)]]</f>
        <v>20.266666666666666</v>
      </c>
      <c r="BI77" s="51"/>
      <c r="BJ77" s="49"/>
      <c r="BK77" s="49"/>
      <c r="BL77" s="47"/>
      <c r="BM77" s="47"/>
      <c r="BN77" s="47"/>
      <c r="BO77" s="47"/>
      <c r="BP77" s="47"/>
      <c r="BQ77" s="47"/>
      <c r="BR77" s="47"/>
      <c r="BS77" s="47"/>
    </row>
    <row r="78" spans="1:71" s="59" customFormat="1" ht="12.75" customHeight="1">
      <c r="A78" s="84" t="s">
        <v>857</v>
      </c>
      <c r="B78" s="85" t="s">
        <v>639</v>
      </c>
      <c r="C78" s="47" t="s">
        <v>769</v>
      </c>
      <c r="D78" s="47">
        <v>11</v>
      </c>
      <c r="E78" s="47">
        <v>4</v>
      </c>
      <c r="F78" s="47">
        <v>30</v>
      </c>
      <c r="G78" s="47">
        <v>0.5</v>
      </c>
      <c r="H78" s="60">
        <v>200</v>
      </c>
      <c r="I78" s="61">
        <v>42879</v>
      </c>
      <c r="J78" s="49">
        <f>Table11[[#This Row],[Date plantation]]-Table11[[#This Row],[Date semis]]</f>
        <v>21</v>
      </c>
      <c r="K78" s="61">
        <v>42900</v>
      </c>
      <c r="L78" s="49">
        <f t="shared" si="5"/>
        <v>-42879</v>
      </c>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47"/>
      <c r="BC78" s="48"/>
      <c r="BD78" s="49">
        <f t="shared" si="4"/>
        <v>0</v>
      </c>
      <c r="BE78" s="49">
        <f>SUM(Table11[[#This Row],[S13]:[S52]])</f>
        <v>0</v>
      </c>
      <c r="BF78" s="49"/>
      <c r="BG78" s="49"/>
      <c r="BH78" s="49" t="e">
        <f>Table11[[#This Row],[Quantité récolté]]*Table11[[#This Row],[Prix de vente Moy.]]/Table11[[#This Row],[Surface cultivée (m²)]]</f>
        <v>#DIV/0!</v>
      </c>
      <c r="BI78" s="51"/>
      <c r="BJ78" s="49"/>
      <c r="BK78" s="49"/>
      <c r="BL78" s="47"/>
      <c r="BM78" s="47"/>
      <c r="BN78" s="47"/>
      <c r="BO78" s="47"/>
      <c r="BP78" s="47"/>
      <c r="BQ78" s="47"/>
      <c r="BR78" s="47"/>
      <c r="BS78" s="47"/>
    </row>
    <row r="79" spans="1:71" s="59" customFormat="1" ht="12.75" customHeight="1">
      <c r="A79" s="84" t="s">
        <v>756</v>
      </c>
      <c r="B79" s="85" t="s">
        <v>592</v>
      </c>
      <c r="C79" s="47" t="s">
        <v>821</v>
      </c>
      <c r="D79" s="47">
        <v>33</v>
      </c>
      <c r="E79" s="47">
        <v>3</v>
      </c>
      <c r="F79" s="47">
        <v>30</v>
      </c>
      <c r="G79" s="47">
        <f>9*150/3</f>
        <v>450</v>
      </c>
      <c r="H79" s="60"/>
      <c r="I79" s="61">
        <v>42879</v>
      </c>
      <c r="J79" s="49">
        <f>Table11[[#This Row],[Date plantation]]-Table11[[#This Row],[Date semis]]</f>
        <v>0</v>
      </c>
      <c r="K79" s="61">
        <v>42879</v>
      </c>
      <c r="L79" s="49">
        <f t="shared" si="5"/>
        <v>-42879</v>
      </c>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47"/>
      <c r="BC79" s="48"/>
      <c r="BD79" s="49">
        <f t="shared" si="4"/>
        <v>0</v>
      </c>
      <c r="BE79" s="49">
        <f>SUM(Table11[[#This Row],[S13]:[S52]])</f>
        <v>0</v>
      </c>
      <c r="BF79" s="49"/>
      <c r="BG79" s="49"/>
      <c r="BH79" s="49" t="e">
        <f>Table11[[#This Row],[Quantité récolté]]*Table11[[#This Row],[Prix de vente Moy.]]/Table11[[#This Row],[Surface cultivée (m²)]]</f>
        <v>#DIV/0!</v>
      </c>
      <c r="BI79" s="51"/>
      <c r="BJ79" s="49"/>
      <c r="BK79" s="49"/>
      <c r="BL79" s="47"/>
      <c r="BM79" s="47"/>
      <c r="BN79" s="47"/>
      <c r="BO79" s="47"/>
      <c r="BP79" s="47"/>
      <c r="BQ79" s="47"/>
      <c r="BR79" s="47"/>
      <c r="BS79" s="47"/>
    </row>
    <row r="80" spans="1:71" s="59" customFormat="1" ht="12.75" customHeight="1">
      <c r="A80" s="84" t="s">
        <v>823</v>
      </c>
      <c r="B80" s="85" t="s">
        <v>843</v>
      </c>
      <c r="C80" s="47" t="s">
        <v>835</v>
      </c>
      <c r="D80" s="47">
        <v>22</v>
      </c>
      <c r="E80" s="47">
        <v>6</v>
      </c>
      <c r="F80" s="47"/>
      <c r="G80" s="47">
        <v>15</v>
      </c>
      <c r="H80" s="60"/>
      <c r="I80" s="61">
        <v>42880</v>
      </c>
      <c r="J80" s="49">
        <f>Table11[[#This Row],[Date plantation]]-Table11[[#This Row],[Date semis]]</f>
        <v>0</v>
      </c>
      <c r="K80" s="61">
        <v>42880</v>
      </c>
      <c r="L80" s="49">
        <f t="shared" si="5"/>
        <v>-42880</v>
      </c>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47"/>
      <c r="BC80" s="48"/>
      <c r="BD80" s="49">
        <f t="shared" si="4"/>
        <v>0</v>
      </c>
      <c r="BE80" s="49">
        <f>SUM(Table11[[#This Row],[S13]:[S52]])</f>
        <v>0</v>
      </c>
      <c r="BF80" s="49"/>
      <c r="BG80" s="49"/>
      <c r="BH80" s="49" t="e">
        <f>Table11[[#This Row],[Quantité récolté]]*Table11[[#This Row],[Prix de vente Moy.]]/Table11[[#This Row],[Surface cultivée (m²)]]</f>
        <v>#DIV/0!</v>
      </c>
      <c r="BI80" s="51"/>
      <c r="BJ80" s="49"/>
      <c r="BK80" s="49"/>
      <c r="BL80" s="47"/>
      <c r="BM80" s="47"/>
      <c r="BN80" s="47"/>
      <c r="BO80" s="47"/>
      <c r="BP80" s="47"/>
      <c r="BQ80" s="47"/>
      <c r="BR80" s="47"/>
      <c r="BS80" s="47"/>
    </row>
    <row r="81" spans="1:71" s="59" customFormat="1" ht="12.75" customHeight="1">
      <c r="A81" s="84" t="s">
        <v>733</v>
      </c>
      <c r="B81" s="85" t="s">
        <v>839</v>
      </c>
      <c r="C81" s="47" t="s">
        <v>798</v>
      </c>
      <c r="D81" s="47">
        <v>44</v>
      </c>
      <c r="E81" s="47">
        <v>3</v>
      </c>
      <c r="F81" s="47">
        <v>30</v>
      </c>
      <c r="G81" s="47">
        <v>25000</v>
      </c>
      <c r="H81" s="60"/>
      <c r="I81" s="61">
        <v>42880</v>
      </c>
      <c r="J81" s="49">
        <f>Table11[[#This Row],[Date plantation]]-Table11[[#This Row],[Date semis]]</f>
        <v>0</v>
      </c>
      <c r="K81" s="61">
        <v>42880</v>
      </c>
      <c r="L81" s="49">
        <f t="shared" si="5"/>
        <v>-42880</v>
      </c>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47"/>
      <c r="BC81" s="48"/>
      <c r="BD81" s="49">
        <f t="shared" si="4"/>
        <v>0</v>
      </c>
      <c r="BE81" s="49">
        <f>SUM(Table11[[#This Row],[S13]:[S52]])</f>
        <v>0</v>
      </c>
      <c r="BF81" s="49"/>
      <c r="BG81" s="49"/>
      <c r="BH81" s="49" t="e">
        <f>Table11[[#This Row],[Quantité récolté]]*Table11[[#This Row],[Prix de vente Moy.]]/Table11[[#This Row],[Surface cultivée (m²)]]</f>
        <v>#DIV/0!</v>
      </c>
      <c r="BI81" s="51"/>
      <c r="BJ81" s="49"/>
      <c r="BK81" s="49"/>
      <c r="BL81" s="47"/>
      <c r="BM81" s="47"/>
      <c r="BN81" s="47"/>
      <c r="BO81" s="47"/>
      <c r="BP81" s="47"/>
      <c r="BQ81" s="47"/>
      <c r="BR81" s="47"/>
      <c r="BS81" s="47"/>
    </row>
    <row r="82" spans="1:71" s="59" customFormat="1" ht="12.75" customHeight="1">
      <c r="A82" s="47" t="s">
        <v>865</v>
      </c>
      <c r="B82" s="59" t="s">
        <v>631</v>
      </c>
      <c r="C82" s="47" t="s">
        <v>821</v>
      </c>
      <c r="D82" s="47">
        <v>44</v>
      </c>
      <c r="E82" s="47">
        <v>3</v>
      </c>
      <c r="F82" s="47">
        <v>30</v>
      </c>
      <c r="G82" s="47">
        <v>600</v>
      </c>
      <c r="H82" s="60"/>
      <c r="I82" s="61">
        <v>42891</v>
      </c>
      <c r="J82" s="49">
        <f>Table11[[#This Row],[Date plantation]]-Table11[[#This Row],[Date semis]]</f>
        <v>0</v>
      </c>
      <c r="K82" s="61">
        <v>42891</v>
      </c>
      <c r="L82" s="49">
        <f t="shared" si="5"/>
        <v>57</v>
      </c>
      <c r="M82" s="116">
        <v>42948</v>
      </c>
      <c r="N82" s="116" t="s">
        <v>33</v>
      </c>
      <c r="O82" s="97"/>
      <c r="P82" s="97"/>
      <c r="Q82" s="97"/>
      <c r="R82" s="97"/>
      <c r="S82" s="97"/>
      <c r="T82" s="97"/>
      <c r="U82" s="97"/>
      <c r="V82" s="97"/>
      <c r="W82" s="97"/>
      <c r="X82" s="97"/>
      <c r="Y82" s="97"/>
      <c r="Z82" s="97"/>
      <c r="AA82" s="97"/>
      <c r="AB82" s="97"/>
      <c r="AC82" s="97"/>
      <c r="AD82" s="97"/>
      <c r="AE82" s="97"/>
      <c r="AF82" s="97"/>
      <c r="AG82" s="97">
        <v>18</v>
      </c>
      <c r="AH82" s="97">
        <v>22</v>
      </c>
      <c r="AI82" s="97">
        <v>5</v>
      </c>
      <c r="AJ82" s="97">
        <v>5</v>
      </c>
      <c r="AK82" s="97">
        <v>2</v>
      </c>
      <c r="AL82" s="97">
        <v>2</v>
      </c>
      <c r="AM82" s="97">
        <v>2</v>
      </c>
      <c r="AN82" s="97"/>
      <c r="AO82" s="97"/>
      <c r="AP82" s="97"/>
      <c r="AQ82" s="97"/>
      <c r="AR82" s="97"/>
      <c r="AS82" s="97"/>
      <c r="AT82" s="97"/>
      <c r="AU82" s="97"/>
      <c r="AV82" s="97"/>
      <c r="AW82" s="97"/>
      <c r="AX82" s="97"/>
      <c r="AY82" s="97"/>
      <c r="AZ82" s="97"/>
      <c r="BA82" s="97"/>
      <c r="BB82" s="47"/>
      <c r="BC82" s="48">
        <v>42989</v>
      </c>
      <c r="BD82" s="49">
        <f t="shared" si="4"/>
        <v>41</v>
      </c>
      <c r="BE82" s="49">
        <f>SUM(Table11[[#This Row],[S13]:[S52]])</f>
        <v>56</v>
      </c>
      <c r="BF82" s="49">
        <v>7</v>
      </c>
      <c r="BG82" s="49">
        <v>44</v>
      </c>
      <c r="BH82" s="49">
        <f>Table11[[#This Row],[Quantité récolté]]*Table11[[#This Row],[Prix de vente Moy.]]/Table11[[#This Row],[Surface cultivée (m²)]]</f>
        <v>8.9090909090909083</v>
      </c>
      <c r="BI82" s="51"/>
      <c r="BJ82" s="49"/>
      <c r="BK82" s="49"/>
      <c r="BL82" s="47"/>
      <c r="BM82" s="47"/>
      <c r="BN82" s="47"/>
      <c r="BO82" s="47"/>
      <c r="BP82" s="47"/>
      <c r="BQ82" s="47"/>
      <c r="BR82" s="47"/>
      <c r="BS82" s="47"/>
    </row>
    <row r="83" spans="1:71" s="59" customFormat="1" ht="12.75" customHeight="1">
      <c r="A83" s="84" t="s">
        <v>845</v>
      </c>
      <c r="B83" s="85" t="s">
        <v>846</v>
      </c>
      <c r="C83" s="47"/>
      <c r="D83" s="47">
        <v>11</v>
      </c>
      <c r="E83" s="47">
        <v>3</v>
      </c>
      <c r="F83" s="47">
        <v>10</v>
      </c>
      <c r="G83" s="47"/>
      <c r="H83" s="60"/>
      <c r="I83" s="61">
        <v>42891</v>
      </c>
      <c r="J83" s="49">
        <f>Table11[[#This Row],[Date plantation]]-Table11[[#This Row],[Date semis]]</f>
        <v>0</v>
      </c>
      <c r="K83" s="61">
        <v>42891</v>
      </c>
      <c r="L83" s="49">
        <f t="shared" si="5"/>
        <v>-42891</v>
      </c>
      <c r="M83" s="116"/>
      <c r="N83" s="116"/>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47"/>
      <c r="BC83" s="48"/>
      <c r="BD83" s="49">
        <f t="shared" si="4"/>
        <v>0</v>
      </c>
      <c r="BE83" s="49">
        <f>SUM(Table11[[#This Row],[S13]:[S52]])</f>
        <v>0</v>
      </c>
      <c r="BF83" s="49"/>
      <c r="BG83" s="49"/>
      <c r="BH83" s="49" t="e">
        <f>Table11[[#This Row],[Quantité récolté]]*Table11[[#This Row],[Prix de vente Moy.]]/Table11[[#This Row],[Surface cultivée (m²)]]</f>
        <v>#DIV/0!</v>
      </c>
      <c r="BI83" s="51"/>
      <c r="BJ83" s="49"/>
      <c r="BK83" s="49"/>
      <c r="BL83" s="47"/>
      <c r="BM83" s="47"/>
      <c r="BN83" s="47"/>
      <c r="BO83" s="47"/>
      <c r="BP83" s="47"/>
      <c r="BQ83" s="47"/>
      <c r="BR83" s="47"/>
      <c r="BS83" s="47"/>
    </row>
    <row r="84" spans="1:71" s="59" customFormat="1" ht="12.75" customHeight="1">
      <c r="A84" s="84" t="s">
        <v>847</v>
      </c>
      <c r="B84" s="85" t="s">
        <v>848</v>
      </c>
      <c r="C84" s="47" t="s">
        <v>835</v>
      </c>
      <c r="D84" s="47">
        <v>11</v>
      </c>
      <c r="E84" s="47">
        <v>7</v>
      </c>
      <c r="F84" s="47">
        <v>5</v>
      </c>
      <c r="G84" s="47">
        <v>4</v>
      </c>
      <c r="H84" s="60"/>
      <c r="I84" s="61">
        <v>42892</v>
      </c>
      <c r="J84" s="49">
        <f>Table11[[#This Row],[Date plantation]]-Table11[[#This Row],[Date semis]]</f>
        <v>0</v>
      </c>
      <c r="K84" s="61">
        <v>42892</v>
      </c>
      <c r="L84" s="49">
        <f t="shared" si="5"/>
        <v>-42892</v>
      </c>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47"/>
      <c r="BC84" s="48"/>
      <c r="BD84" s="49">
        <f t="shared" si="4"/>
        <v>0</v>
      </c>
      <c r="BE84" s="49">
        <f>SUM(Table11[[#This Row],[S13]:[S52]])</f>
        <v>0</v>
      </c>
      <c r="BF84" s="49"/>
      <c r="BG84" s="49"/>
      <c r="BH84" s="49" t="e">
        <f>Table11[[#This Row],[Quantité récolté]]*Table11[[#This Row],[Prix de vente Moy.]]/Table11[[#This Row],[Surface cultivée (m²)]]</f>
        <v>#DIV/0!</v>
      </c>
      <c r="BI84" s="51"/>
      <c r="BJ84" s="49"/>
      <c r="BK84" s="49"/>
      <c r="BL84" s="47"/>
      <c r="BM84" s="47"/>
      <c r="BN84" s="47"/>
      <c r="BO84" s="47"/>
      <c r="BP84" s="47"/>
      <c r="BQ84" s="47"/>
      <c r="BR84" s="47"/>
      <c r="BS84" s="47"/>
    </row>
    <row r="85" spans="1:71" s="59" customFormat="1" ht="12.75" customHeight="1">
      <c r="A85" s="84" t="s">
        <v>849</v>
      </c>
      <c r="B85" s="85" t="s">
        <v>659</v>
      </c>
      <c r="C85" s="47" t="s">
        <v>726</v>
      </c>
      <c r="D85" s="47">
        <v>11</v>
      </c>
      <c r="E85" s="47">
        <v>5</v>
      </c>
      <c r="F85" s="47">
        <v>10</v>
      </c>
      <c r="G85" s="47">
        <v>15</v>
      </c>
      <c r="H85" s="60"/>
      <c r="I85" s="61">
        <v>42892</v>
      </c>
      <c r="J85" s="49">
        <f>Table11[[#This Row],[Date plantation]]-Table11[[#This Row],[Date semis]]</f>
        <v>0</v>
      </c>
      <c r="K85" s="61">
        <v>42892</v>
      </c>
      <c r="L85" s="49">
        <f t="shared" si="5"/>
        <v>-42892</v>
      </c>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47"/>
      <c r="BC85" s="48"/>
      <c r="BD85" s="49">
        <f t="shared" si="4"/>
        <v>0</v>
      </c>
      <c r="BE85" s="49">
        <f>SUM(Table11[[#This Row],[S13]:[S52]])</f>
        <v>0</v>
      </c>
      <c r="BF85" s="49"/>
      <c r="BG85" s="49"/>
      <c r="BH85" s="49" t="e">
        <f>Table11[[#This Row],[Quantité récolté]]*Table11[[#This Row],[Prix de vente Moy.]]/Table11[[#This Row],[Surface cultivée (m²)]]</f>
        <v>#DIV/0!</v>
      </c>
      <c r="BI85" s="51"/>
      <c r="BJ85" s="49"/>
      <c r="BK85" s="49"/>
      <c r="BL85" s="47"/>
      <c r="BM85" s="47"/>
      <c r="BN85" s="47"/>
      <c r="BO85" s="47"/>
      <c r="BP85" s="47"/>
      <c r="BQ85" s="47"/>
      <c r="BR85" s="47"/>
      <c r="BS85" s="47"/>
    </row>
    <row r="86" spans="1:71" s="59" customFormat="1" ht="12.75" customHeight="1">
      <c r="A86" s="84" t="s">
        <v>850</v>
      </c>
      <c r="B86" s="85" t="s">
        <v>665</v>
      </c>
      <c r="C86" s="47" t="s">
        <v>721</v>
      </c>
      <c r="D86" s="47">
        <v>11</v>
      </c>
      <c r="E86" s="47">
        <v>5</v>
      </c>
      <c r="F86" s="47">
        <v>10</v>
      </c>
      <c r="G86" s="47">
        <v>5</v>
      </c>
      <c r="H86" s="60"/>
      <c r="I86" s="61">
        <v>42892</v>
      </c>
      <c r="J86" s="49">
        <f>Table11[[#This Row],[Date plantation]]-Table11[[#This Row],[Date semis]]</f>
        <v>0</v>
      </c>
      <c r="K86" s="61">
        <v>42892</v>
      </c>
      <c r="L86" s="49">
        <f t="shared" si="5"/>
        <v>-42892</v>
      </c>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47"/>
      <c r="BC86" s="48"/>
      <c r="BD86" s="49">
        <f t="shared" si="4"/>
        <v>0</v>
      </c>
      <c r="BE86" s="49">
        <f>SUM(Table11[[#This Row],[S13]:[S52]])</f>
        <v>0</v>
      </c>
      <c r="BF86" s="49"/>
      <c r="BG86" s="49"/>
      <c r="BH86" s="49" t="e">
        <f>Table11[[#This Row],[Quantité récolté]]*Table11[[#This Row],[Prix de vente Moy.]]/Table11[[#This Row],[Surface cultivée (m²)]]</f>
        <v>#DIV/0!</v>
      </c>
      <c r="BI86" s="51"/>
      <c r="BJ86" s="49"/>
      <c r="BK86" s="49"/>
      <c r="BL86" s="47"/>
      <c r="BM86" s="47"/>
      <c r="BN86" s="47"/>
      <c r="BO86" s="47"/>
      <c r="BP86" s="47"/>
      <c r="BQ86" s="47"/>
      <c r="BR86" s="47"/>
      <c r="BS86" s="47"/>
    </row>
    <row r="87" spans="1:71" s="59" customFormat="1" ht="12.75" customHeight="1">
      <c r="A87" s="47" t="s">
        <v>857</v>
      </c>
      <c r="B87" s="59" t="s">
        <v>670</v>
      </c>
      <c r="C87" s="47" t="s">
        <v>852</v>
      </c>
      <c r="D87" s="47"/>
      <c r="E87" s="47"/>
      <c r="F87" s="47"/>
      <c r="G87" s="47">
        <v>2.5</v>
      </c>
      <c r="H87" s="60">
        <v>800</v>
      </c>
      <c r="I87" s="61">
        <v>42893</v>
      </c>
      <c r="J87" s="49">
        <f>Table11[[#This Row],[Date plantation]]-Table11[[#This Row],[Date semis]]</f>
        <v>19</v>
      </c>
      <c r="K87" s="61">
        <v>42912</v>
      </c>
      <c r="L87" s="49">
        <f t="shared" si="5"/>
        <v>34</v>
      </c>
      <c r="M87" s="116">
        <v>42927</v>
      </c>
      <c r="N87" s="116" t="s">
        <v>33</v>
      </c>
      <c r="O87" s="97"/>
      <c r="P87" s="97"/>
      <c r="Q87" s="97"/>
      <c r="R87" s="97"/>
      <c r="S87" s="97"/>
      <c r="T87" s="97"/>
      <c r="U87" s="97"/>
      <c r="V87" s="97"/>
      <c r="W87" s="97"/>
      <c r="X87" s="97"/>
      <c r="Y87" s="97"/>
      <c r="Z87" s="97"/>
      <c r="AA87" s="97"/>
      <c r="AB87" s="97"/>
      <c r="AC87" s="97"/>
      <c r="AD87" s="97">
        <v>7</v>
      </c>
      <c r="AE87" s="97">
        <v>7</v>
      </c>
      <c r="AF87" s="97">
        <v>4</v>
      </c>
      <c r="AG87" s="97">
        <v>5</v>
      </c>
      <c r="AH87" s="97">
        <v>5</v>
      </c>
      <c r="AI87" s="97">
        <v>1</v>
      </c>
      <c r="AJ87" s="97">
        <v>1</v>
      </c>
      <c r="AK87" s="97">
        <v>1</v>
      </c>
      <c r="AL87" s="97"/>
      <c r="AM87" s="97"/>
      <c r="AN87" s="97"/>
      <c r="AO87" s="97"/>
      <c r="AP87" s="97"/>
      <c r="AQ87" s="97"/>
      <c r="AR87" s="97"/>
      <c r="AS87" s="97"/>
      <c r="AT87" s="97"/>
      <c r="AU87" s="97"/>
      <c r="AV87" s="97"/>
      <c r="AW87" s="97"/>
      <c r="AX87" s="97"/>
      <c r="AY87" s="97"/>
      <c r="AZ87" s="97"/>
      <c r="BA87" s="97"/>
      <c r="BB87" s="47"/>
      <c r="BC87" s="48">
        <v>42975</v>
      </c>
      <c r="BD87" s="49">
        <f t="shared" si="4"/>
        <v>48</v>
      </c>
      <c r="BE87" s="49">
        <f>SUM(Table11[[#This Row],[S13]:[S52]])</f>
        <v>31</v>
      </c>
      <c r="BF87" s="49">
        <v>8</v>
      </c>
      <c r="BG87" s="49">
        <v>15</v>
      </c>
      <c r="BH87" s="49">
        <f>Table11[[#This Row],[Quantité récolté]]*Table11[[#This Row],[Prix de vente Moy.]]/Table11[[#This Row],[Surface cultivée (m²)]]</f>
        <v>16.533333333333335</v>
      </c>
      <c r="BI87" s="51"/>
      <c r="BJ87" s="49"/>
      <c r="BK87" s="49"/>
      <c r="BL87" s="47"/>
      <c r="BM87" s="47"/>
      <c r="BN87" s="47"/>
      <c r="BO87" s="47"/>
      <c r="BP87" s="47"/>
      <c r="BQ87" s="47"/>
      <c r="BR87" s="47"/>
      <c r="BS87" s="47"/>
    </row>
    <row r="88" spans="1:71" s="59" customFormat="1" ht="12.75" customHeight="1">
      <c r="A88" s="47" t="s">
        <v>872</v>
      </c>
      <c r="B88" s="59" t="s">
        <v>642</v>
      </c>
      <c r="C88" s="47" t="s">
        <v>769</v>
      </c>
      <c r="D88" s="47"/>
      <c r="E88" s="47"/>
      <c r="F88" s="47"/>
      <c r="G88" s="47">
        <v>0.5</v>
      </c>
      <c r="H88" s="60">
        <v>200</v>
      </c>
      <c r="I88" s="61">
        <v>42893</v>
      </c>
      <c r="J88" s="49">
        <f>Table11[[#This Row],[Date plantation]]-Table11[[#This Row],[Date semis]]</f>
        <v>20</v>
      </c>
      <c r="K88" s="61">
        <v>42913</v>
      </c>
      <c r="L88" s="49">
        <f t="shared" si="5"/>
        <v>72</v>
      </c>
      <c r="M88" s="116">
        <v>42965</v>
      </c>
      <c r="N88" s="116" t="s">
        <v>1902</v>
      </c>
      <c r="O88" s="97"/>
      <c r="P88" s="97"/>
      <c r="Q88" s="97"/>
      <c r="R88" s="97"/>
      <c r="S88" s="97"/>
      <c r="T88" s="97"/>
      <c r="U88" s="97"/>
      <c r="V88" s="97"/>
      <c r="W88" s="97"/>
      <c r="X88" s="97"/>
      <c r="Y88" s="97"/>
      <c r="Z88" s="97"/>
      <c r="AA88" s="97"/>
      <c r="AB88" s="97"/>
      <c r="AC88" s="97"/>
      <c r="AD88" s="97"/>
      <c r="AE88" s="97"/>
      <c r="AF88" s="97"/>
      <c r="AG88" s="97"/>
      <c r="AH88" s="97"/>
      <c r="AI88" s="97">
        <v>10</v>
      </c>
      <c r="AJ88" s="97">
        <v>15</v>
      </c>
      <c r="AK88" s="97">
        <v>16</v>
      </c>
      <c r="AL88" s="97"/>
      <c r="AM88" s="97"/>
      <c r="AN88" s="97"/>
      <c r="AO88" s="97"/>
      <c r="AP88" s="97"/>
      <c r="AQ88" s="97"/>
      <c r="AR88" s="97"/>
      <c r="AS88" s="97"/>
      <c r="AT88" s="97"/>
      <c r="AU88" s="97"/>
      <c r="AV88" s="97"/>
      <c r="AW88" s="97"/>
      <c r="AX88" s="97"/>
      <c r="AY88" s="97"/>
      <c r="AZ88" s="97"/>
      <c r="BA88" s="97"/>
      <c r="BB88" s="47"/>
      <c r="BC88" s="48">
        <v>42975</v>
      </c>
      <c r="BD88" s="49">
        <f t="shared" si="4"/>
        <v>10</v>
      </c>
      <c r="BE88" s="49">
        <f>SUM(Table11[[#This Row],[S13]:[S52]])</f>
        <v>41</v>
      </c>
      <c r="BF88" s="49">
        <v>1</v>
      </c>
      <c r="BG88" s="49">
        <v>11</v>
      </c>
      <c r="BH88" s="49">
        <f>Table11[[#This Row],[Quantité récolté]]*Table11[[#This Row],[Prix de vente Moy.]]/Table11[[#This Row],[Surface cultivée (m²)]]</f>
        <v>3.7272727272727271</v>
      </c>
      <c r="BI88" s="51"/>
      <c r="BJ88" s="49"/>
      <c r="BK88" s="49"/>
      <c r="BL88" s="47"/>
      <c r="BM88" s="47"/>
      <c r="BN88" s="47"/>
      <c r="BO88" s="47"/>
      <c r="BP88" s="47"/>
      <c r="BQ88" s="47"/>
      <c r="BR88" s="47"/>
      <c r="BS88" s="47"/>
    </row>
    <row r="89" spans="1:71" s="59" customFormat="1" ht="12.75" customHeight="1">
      <c r="A89" s="47" t="s">
        <v>859</v>
      </c>
      <c r="B89" s="59" t="s">
        <v>576</v>
      </c>
      <c r="C89" s="47" t="s">
        <v>784</v>
      </c>
      <c r="D89" s="47">
        <v>18</v>
      </c>
      <c r="E89" s="47">
        <v>1</v>
      </c>
      <c r="F89" s="47">
        <v>50</v>
      </c>
      <c r="G89" s="47">
        <v>8</v>
      </c>
      <c r="H89" s="60">
        <v>45</v>
      </c>
      <c r="I89" s="61">
        <v>42893</v>
      </c>
      <c r="J89" s="49">
        <f>Table11[[#This Row],[Date plantation]]-Table11[[#This Row],[Date semis]]</f>
        <v>8</v>
      </c>
      <c r="K89" s="61">
        <v>42901</v>
      </c>
      <c r="L89" s="49">
        <f t="shared" si="5"/>
        <v>41</v>
      </c>
      <c r="M89" s="116">
        <v>42934</v>
      </c>
      <c r="N89" s="116" t="s">
        <v>33</v>
      </c>
      <c r="O89" s="97"/>
      <c r="P89" s="97"/>
      <c r="Q89" s="97"/>
      <c r="R89" s="97"/>
      <c r="S89" s="97"/>
      <c r="T89" s="97"/>
      <c r="U89" s="97"/>
      <c r="V89" s="97"/>
      <c r="W89" s="97"/>
      <c r="X89" s="97"/>
      <c r="Y89" s="97"/>
      <c r="Z89" s="97"/>
      <c r="AA89" s="97"/>
      <c r="AB89" s="97"/>
      <c r="AC89" s="97"/>
      <c r="AD89" s="97"/>
      <c r="AE89" s="97">
        <v>1</v>
      </c>
      <c r="AF89" s="97">
        <v>2</v>
      </c>
      <c r="AG89" s="97">
        <v>6</v>
      </c>
      <c r="AH89" s="97">
        <v>2</v>
      </c>
      <c r="AI89" s="97">
        <v>1</v>
      </c>
      <c r="AJ89" s="97">
        <v>1</v>
      </c>
      <c r="AK89" s="97">
        <v>1</v>
      </c>
      <c r="AL89" s="97">
        <v>1</v>
      </c>
      <c r="AM89" s="97">
        <v>1</v>
      </c>
      <c r="AN89" s="97">
        <v>1</v>
      </c>
      <c r="AO89" s="97"/>
      <c r="AP89" s="97"/>
      <c r="AQ89" s="97"/>
      <c r="AR89" s="97"/>
      <c r="AS89" s="97"/>
      <c r="AT89" s="97"/>
      <c r="AU89" s="97"/>
      <c r="AV89" s="97"/>
      <c r="AW89" s="97"/>
      <c r="AX89" s="97"/>
      <c r="AY89" s="97"/>
      <c r="AZ89" s="97"/>
      <c r="BA89" s="97"/>
      <c r="BB89" s="47"/>
      <c r="BC89" s="48">
        <v>42996</v>
      </c>
      <c r="BD89" s="49">
        <f t="shared" si="4"/>
        <v>62</v>
      </c>
      <c r="BE89" s="49">
        <f>SUM(Table11[[#This Row],[S13]:[S52]])</f>
        <v>17</v>
      </c>
      <c r="BF89" s="49">
        <v>1.8</v>
      </c>
      <c r="BG89" s="49">
        <v>11</v>
      </c>
      <c r="BH89" s="49">
        <f>Table11[[#This Row],[Quantité récolté]]*Table11[[#This Row],[Prix de vente Moy.]]/Table11[[#This Row],[Surface cultivée (m²)]]</f>
        <v>2.7818181818181817</v>
      </c>
      <c r="BI89" s="51"/>
      <c r="BJ89" s="49"/>
      <c r="BK89" s="49"/>
      <c r="BL89" s="47"/>
      <c r="BM89" s="47"/>
      <c r="BN89" s="47"/>
      <c r="BO89" s="47"/>
      <c r="BP89" s="47"/>
      <c r="BQ89" s="47"/>
      <c r="BR89" s="47"/>
      <c r="BS89" s="47"/>
    </row>
    <row r="90" spans="1:71" s="59" customFormat="1" ht="12.75" customHeight="1">
      <c r="A90" s="47" t="s">
        <v>858</v>
      </c>
      <c r="B90" s="59" t="s">
        <v>851</v>
      </c>
      <c r="C90" s="47" t="s">
        <v>785</v>
      </c>
      <c r="D90" s="47">
        <v>18</v>
      </c>
      <c r="E90" s="47">
        <v>1</v>
      </c>
      <c r="F90" s="47">
        <v>50</v>
      </c>
      <c r="G90" s="47">
        <v>8</v>
      </c>
      <c r="H90" s="60">
        <v>45</v>
      </c>
      <c r="I90" s="61">
        <v>42893</v>
      </c>
      <c r="J90" s="49">
        <f>Table11[[#This Row],[Date plantation]]-Table11[[#This Row],[Date semis]]</f>
        <v>8</v>
      </c>
      <c r="K90" s="61">
        <v>42901</v>
      </c>
      <c r="L90" s="49">
        <f t="shared" si="5"/>
        <v>41</v>
      </c>
      <c r="M90" s="116">
        <v>42934</v>
      </c>
      <c r="N90" s="116" t="s">
        <v>33</v>
      </c>
      <c r="O90" s="97"/>
      <c r="P90" s="97"/>
      <c r="Q90" s="97"/>
      <c r="R90" s="97"/>
      <c r="S90" s="97"/>
      <c r="T90" s="97"/>
      <c r="U90" s="97"/>
      <c r="V90" s="97"/>
      <c r="W90" s="97"/>
      <c r="X90" s="97"/>
      <c r="Y90" s="97"/>
      <c r="Z90" s="97"/>
      <c r="AA90" s="97"/>
      <c r="AB90" s="97"/>
      <c r="AC90" s="97"/>
      <c r="AD90" s="97"/>
      <c r="AE90" s="97">
        <v>1</v>
      </c>
      <c r="AF90" s="97">
        <v>8</v>
      </c>
      <c r="AG90" s="97">
        <v>10</v>
      </c>
      <c r="AH90" s="97">
        <v>10</v>
      </c>
      <c r="AI90" s="97">
        <v>10</v>
      </c>
      <c r="AJ90" s="97">
        <v>6</v>
      </c>
      <c r="AK90" s="97">
        <v>4</v>
      </c>
      <c r="AL90" s="97">
        <v>3</v>
      </c>
      <c r="AM90" s="97">
        <v>2</v>
      </c>
      <c r="AN90" s="97">
        <v>1</v>
      </c>
      <c r="AO90" s="97"/>
      <c r="AP90" s="97"/>
      <c r="AQ90" s="97"/>
      <c r="AR90" s="97"/>
      <c r="AS90" s="97"/>
      <c r="AT90" s="97"/>
      <c r="AU90" s="97"/>
      <c r="AV90" s="97"/>
      <c r="AW90" s="97"/>
      <c r="AX90" s="97"/>
      <c r="AY90" s="97"/>
      <c r="AZ90" s="97"/>
      <c r="BA90" s="97"/>
      <c r="BB90" s="47"/>
      <c r="BC90" s="48">
        <v>42996</v>
      </c>
      <c r="BD90" s="49">
        <f t="shared" si="4"/>
        <v>62</v>
      </c>
      <c r="BE90" s="49">
        <f>SUM(Table11[[#This Row],[S13]:[S52]])</f>
        <v>55</v>
      </c>
      <c r="BF90" s="49">
        <v>1.6</v>
      </c>
      <c r="BG90" s="49">
        <v>22</v>
      </c>
      <c r="BH90" s="49">
        <f>Table11[[#This Row],[Quantité récolté]]*Table11[[#This Row],[Prix de vente Moy.]]/Table11[[#This Row],[Surface cultivée (m²)]]</f>
        <v>4</v>
      </c>
      <c r="BI90" s="51"/>
      <c r="BJ90" s="49"/>
      <c r="BK90" s="49"/>
      <c r="BL90" s="47"/>
      <c r="BM90" s="47"/>
      <c r="BN90" s="47"/>
      <c r="BO90" s="47"/>
      <c r="BP90" s="47"/>
      <c r="BQ90" s="47"/>
      <c r="BR90" s="47"/>
      <c r="BS90" s="47"/>
    </row>
    <row r="91" spans="1:71" s="59" customFormat="1" ht="12.75" customHeight="1">
      <c r="A91" s="47" t="s">
        <v>766</v>
      </c>
      <c r="B91" s="59" t="s">
        <v>936</v>
      </c>
      <c r="C91" s="47" t="s">
        <v>821</v>
      </c>
      <c r="D91" s="47">
        <v>22</v>
      </c>
      <c r="E91" s="47">
        <v>3</v>
      </c>
      <c r="F91" s="47">
        <v>30</v>
      </c>
      <c r="G91" s="47">
        <v>300</v>
      </c>
      <c r="H91" s="60"/>
      <c r="I91" s="61">
        <v>42900</v>
      </c>
      <c r="J91" s="49">
        <f>Table11[[#This Row],[Date plantation]]-Table11[[#This Row],[Date semis]]</f>
        <v>0</v>
      </c>
      <c r="K91" s="61">
        <v>42900</v>
      </c>
      <c r="L91" s="49">
        <f t="shared" si="5"/>
        <v>55</v>
      </c>
      <c r="M91" s="116">
        <v>42955</v>
      </c>
      <c r="N91" s="116" t="s">
        <v>33</v>
      </c>
      <c r="O91" s="97"/>
      <c r="P91" s="97"/>
      <c r="Q91" s="97"/>
      <c r="R91" s="97"/>
      <c r="S91" s="97"/>
      <c r="T91" s="97"/>
      <c r="U91" s="97"/>
      <c r="V91" s="97"/>
      <c r="W91" s="97"/>
      <c r="X91" s="97"/>
      <c r="Y91" s="97"/>
      <c r="Z91" s="97"/>
      <c r="AA91" s="97"/>
      <c r="AB91" s="97"/>
      <c r="AC91" s="97"/>
      <c r="AD91" s="97"/>
      <c r="AE91" s="97"/>
      <c r="AF91" s="97"/>
      <c r="AG91" s="97"/>
      <c r="AH91" s="97">
        <v>11</v>
      </c>
      <c r="AI91" s="97">
        <v>3</v>
      </c>
      <c r="AJ91" s="97"/>
      <c r="AK91" s="97"/>
      <c r="AL91" s="97"/>
      <c r="AM91" s="97"/>
      <c r="AN91" s="97"/>
      <c r="AO91" s="97"/>
      <c r="AP91" s="97"/>
      <c r="AQ91" s="97"/>
      <c r="AR91" s="97"/>
      <c r="AS91" s="97"/>
      <c r="AT91" s="97"/>
      <c r="AU91" s="97"/>
      <c r="AV91" s="97"/>
      <c r="AW91" s="97"/>
      <c r="AX91" s="97"/>
      <c r="AY91" s="97"/>
      <c r="AZ91" s="97"/>
      <c r="BA91" s="97"/>
      <c r="BB91" s="47"/>
      <c r="BC91" s="48">
        <v>42961</v>
      </c>
      <c r="BD91" s="49">
        <f t="shared" si="4"/>
        <v>6</v>
      </c>
      <c r="BE91" s="49">
        <f>SUM(Table11[[#This Row],[S13]:[S52]])</f>
        <v>14</v>
      </c>
      <c r="BF91" s="49">
        <v>7</v>
      </c>
      <c r="BG91" s="49">
        <v>22</v>
      </c>
      <c r="BH91" s="49">
        <f>Table11[[#This Row],[Quantité récolté]]*Table11[[#This Row],[Prix de vente Moy.]]/Table11[[#This Row],[Surface cultivée (m²)]]</f>
        <v>4.4545454545454541</v>
      </c>
      <c r="BI91" s="51"/>
      <c r="BJ91" s="49"/>
      <c r="BK91" s="49"/>
      <c r="BL91" s="47"/>
      <c r="BM91" s="47"/>
      <c r="BN91" s="47"/>
      <c r="BO91" s="47"/>
      <c r="BP91" s="47"/>
      <c r="BQ91" s="47"/>
      <c r="BR91" s="47"/>
      <c r="BS91" s="47"/>
    </row>
    <row r="92" spans="1:71" s="59" customFormat="1" ht="12.75" customHeight="1">
      <c r="A92" s="84" t="s">
        <v>866</v>
      </c>
      <c r="B92" s="85" t="s">
        <v>647</v>
      </c>
      <c r="C92" s="47" t="s">
        <v>821</v>
      </c>
      <c r="D92" s="47">
        <v>22</v>
      </c>
      <c r="E92" s="47">
        <v>3</v>
      </c>
      <c r="F92" s="47">
        <v>30</v>
      </c>
      <c r="G92" s="47">
        <v>300</v>
      </c>
      <c r="H92" s="60"/>
      <c r="I92" s="87">
        <v>42905</v>
      </c>
      <c r="J92" s="88">
        <f>Table11[[#This Row],[Date plantation]]-Table11[[#This Row],[Date semis]]</f>
        <v>0</v>
      </c>
      <c r="K92" s="87">
        <v>42905</v>
      </c>
      <c r="L92" s="88">
        <f t="shared" si="5"/>
        <v>-42905</v>
      </c>
      <c r="M92" s="117"/>
      <c r="N92" s="117"/>
      <c r="O92" s="117"/>
      <c r="P92" s="118"/>
      <c r="Q92" s="119"/>
      <c r="R92" s="119"/>
      <c r="S92" s="118"/>
      <c r="T92" s="119"/>
      <c r="U92" s="119"/>
      <c r="V92" s="119"/>
      <c r="W92" s="119"/>
      <c r="X92" s="119"/>
      <c r="Y92" s="119"/>
      <c r="Z92" s="119"/>
      <c r="AA92" s="119"/>
      <c r="AB92" s="119"/>
      <c r="AC92" s="119"/>
      <c r="AD92" s="119"/>
      <c r="AE92" s="120"/>
      <c r="AF92" s="120"/>
      <c r="AG92" s="120"/>
      <c r="AH92" s="120"/>
      <c r="AI92" s="120"/>
      <c r="AJ92" s="120"/>
      <c r="AK92" s="120"/>
      <c r="AL92" s="120"/>
      <c r="AM92" s="120"/>
      <c r="AN92" s="120"/>
      <c r="AO92" s="120"/>
      <c r="AP92" s="120"/>
      <c r="AQ92" s="120"/>
      <c r="AR92" s="117"/>
      <c r="AS92" s="120"/>
      <c r="AT92" s="120"/>
      <c r="AU92" s="120"/>
      <c r="AV92" s="120"/>
      <c r="AW92" s="117"/>
      <c r="AX92" s="120"/>
      <c r="AY92" s="120"/>
      <c r="AZ92" s="120"/>
      <c r="BA92" s="120"/>
      <c r="BB92" s="88"/>
      <c r="BC92" s="89"/>
      <c r="BD92" s="88">
        <f t="shared" si="4"/>
        <v>0</v>
      </c>
      <c r="BE92" s="88">
        <f>SUM(Table11[[#This Row],[S13]:[S52]])</f>
        <v>0</v>
      </c>
      <c r="BF92" s="88"/>
      <c r="BG92" s="88"/>
      <c r="BH92" s="88" t="e">
        <f>Table11[[#This Row],[Quantité récolté]]*Table11[[#This Row],[Prix de vente Moy.]]/Table11[[#This Row],[Surface cultivée (m²)]]</f>
        <v>#DIV/0!</v>
      </c>
      <c r="BI92" s="90"/>
      <c r="BJ92" s="88"/>
      <c r="BK92" s="88"/>
      <c r="BL92" s="86"/>
      <c r="BM92" s="86"/>
      <c r="BN92" s="86"/>
      <c r="BO92" s="86"/>
      <c r="BP92" s="47"/>
      <c r="BQ92" s="47"/>
      <c r="BR92" s="47"/>
      <c r="BS92" s="47"/>
    </row>
    <row r="93" spans="1:71" s="59" customFormat="1" ht="12.75" customHeight="1">
      <c r="A93" s="47" t="s">
        <v>864</v>
      </c>
      <c r="B93" s="59" t="s">
        <v>873</v>
      </c>
      <c r="C93" s="47"/>
      <c r="D93" s="47">
        <v>11</v>
      </c>
      <c r="E93" s="47">
        <v>3</v>
      </c>
      <c r="F93" s="47">
        <v>10</v>
      </c>
      <c r="G93" s="47"/>
      <c r="H93" s="60"/>
      <c r="I93" s="87">
        <v>42905</v>
      </c>
      <c r="J93" s="88">
        <f>Table11[[#This Row],[Date plantation]]-Table11[[#This Row],[Date semis]]</f>
        <v>0</v>
      </c>
      <c r="K93" s="87">
        <v>42905</v>
      </c>
      <c r="L93" s="88">
        <f t="shared" si="5"/>
        <v>77</v>
      </c>
      <c r="M93" s="117">
        <v>42982</v>
      </c>
      <c r="N93" s="182" t="s">
        <v>1902</v>
      </c>
      <c r="O93" s="117"/>
      <c r="P93" s="118"/>
      <c r="Q93" s="119"/>
      <c r="R93" s="119"/>
      <c r="S93" s="118"/>
      <c r="T93" s="119"/>
      <c r="U93" s="119"/>
      <c r="V93" s="119"/>
      <c r="W93" s="119"/>
      <c r="X93" s="119"/>
      <c r="Y93" s="119"/>
      <c r="Z93" s="119"/>
      <c r="AA93" s="119"/>
      <c r="AB93" s="119"/>
      <c r="AC93" s="119"/>
      <c r="AD93" s="119"/>
      <c r="AE93" s="120"/>
      <c r="AF93" s="120"/>
      <c r="AG93" s="120"/>
      <c r="AH93" s="120"/>
      <c r="AI93" s="120"/>
      <c r="AJ93" s="120"/>
      <c r="AK93" s="120"/>
      <c r="AL93" s="120">
        <v>12</v>
      </c>
      <c r="AM93" s="120">
        <v>10</v>
      </c>
      <c r="AN93" s="120"/>
      <c r="AO93" s="120"/>
      <c r="AP93" s="120"/>
      <c r="AQ93" s="120"/>
      <c r="AR93" s="117"/>
      <c r="AS93" s="120"/>
      <c r="AT93" s="120"/>
      <c r="AU93" s="120"/>
      <c r="AV93" s="120"/>
      <c r="AW93" s="117"/>
      <c r="AX93" s="120"/>
      <c r="AY93" s="120"/>
      <c r="AZ93" s="120"/>
      <c r="BA93" s="120"/>
      <c r="BB93" s="88"/>
      <c r="BC93" s="89">
        <v>42989</v>
      </c>
      <c r="BD93" s="88">
        <f t="shared" si="4"/>
        <v>7</v>
      </c>
      <c r="BE93" s="88">
        <f>SUM(Table11[[#This Row],[S13]:[S52]])</f>
        <v>22</v>
      </c>
      <c r="BF93" s="88">
        <v>1</v>
      </c>
      <c r="BG93" s="88">
        <v>11</v>
      </c>
      <c r="BH93" s="88">
        <f>Table11[[#This Row],[Quantité récolté]]*Table11[[#This Row],[Prix de vente Moy.]]/Table11[[#This Row],[Surface cultivée (m²)]]</f>
        <v>2</v>
      </c>
      <c r="BI93" s="90"/>
      <c r="BJ93" s="88"/>
      <c r="BK93" s="88"/>
      <c r="BL93" s="86"/>
      <c r="BM93" s="86"/>
      <c r="BN93" s="86"/>
      <c r="BO93" s="86"/>
      <c r="BP93" s="47"/>
      <c r="BQ93" s="47"/>
      <c r="BR93" s="47"/>
      <c r="BS93" s="47"/>
    </row>
    <row r="94" spans="1:71" s="59" customFormat="1" ht="12.75" customHeight="1">
      <c r="A94" s="47" t="s">
        <v>885</v>
      </c>
      <c r="B94" s="59" t="s">
        <v>683</v>
      </c>
      <c r="C94" s="47" t="s">
        <v>852</v>
      </c>
      <c r="D94" s="47">
        <v>11</v>
      </c>
      <c r="E94" s="47">
        <v>6</v>
      </c>
      <c r="F94" s="47">
        <v>10</v>
      </c>
      <c r="G94" s="47">
        <v>2.5</v>
      </c>
      <c r="H94" s="60">
        <v>800</v>
      </c>
      <c r="I94" s="61">
        <v>42907</v>
      </c>
      <c r="J94" s="49">
        <f>Table11[[#This Row],[Date plantation]]-Table11[[#This Row],[Date semis]]</f>
        <v>12</v>
      </c>
      <c r="K94" s="61">
        <v>42919</v>
      </c>
      <c r="L94" s="49">
        <f t="shared" si="5"/>
        <v>40</v>
      </c>
      <c r="M94" s="116">
        <v>42947</v>
      </c>
      <c r="N94" s="116" t="s">
        <v>33</v>
      </c>
      <c r="O94" s="97"/>
      <c r="P94" s="97"/>
      <c r="Q94" s="97"/>
      <c r="R94" s="97"/>
      <c r="S94" s="97"/>
      <c r="T94" s="97"/>
      <c r="U94" s="97"/>
      <c r="V94" s="97"/>
      <c r="W94" s="97"/>
      <c r="X94" s="97"/>
      <c r="Y94" s="97"/>
      <c r="Z94" s="97"/>
      <c r="AA94" s="97"/>
      <c r="AB94" s="97"/>
      <c r="AC94" s="97"/>
      <c r="AD94" s="97"/>
      <c r="AE94" s="97"/>
      <c r="AF94" s="97"/>
      <c r="AG94" s="97">
        <v>2.5</v>
      </c>
      <c r="AH94" s="97">
        <v>2</v>
      </c>
      <c r="AI94" s="97"/>
      <c r="AJ94" s="97">
        <v>3</v>
      </c>
      <c r="AK94" s="97">
        <v>5</v>
      </c>
      <c r="AL94" s="97"/>
      <c r="AM94" s="97"/>
      <c r="AN94" s="97"/>
      <c r="AO94" s="97"/>
      <c r="AP94" s="97"/>
      <c r="AQ94" s="97"/>
      <c r="AR94" s="97"/>
      <c r="AS94" s="97"/>
      <c r="AT94" s="97"/>
      <c r="AU94" s="97"/>
      <c r="AV94" s="97"/>
      <c r="AW94" s="97"/>
      <c r="AX94" s="97"/>
      <c r="AY94" s="97"/>
      <c r="AZ94" s="97"/>
      <c r="BA94" s="97"/>
      <c r="BB94" s="47"/>
      <c r="BC94" s="48">
        <v>42975</v>
      </c>
      <c r="BD94" s="49">
        <f t="shared" si="4"/>
        <v>28</v>
      </c>
      <c r="BE94" s="49">
        <f>SUM(Table11[[#This Row],[S13]:[S52]])</f>
        <v>12.5</v>
      </c>
      <c r="BF94" s="49">
        <v>8</v>
      </c>
      <c r="BG94" s="49">
        <v>15</v>
      </c>
      <c r="BH94" s="49">
        <f>Table11[[#This Row],[Quantité récolté]]*Table11[[#This Row],[Prix de vente Moy.]]/Table11[[#This Row],[Surface cultivée (m²)]]</f>
        <v>6.666666666666667</v>
      </c>
      <c r="BI94" s="51"/>
      <c r="BJ94" s="49"/>
      <c r="BK94" s="49"/>
      <c r="BL94" s="47"/>
      <c r="BM94" s="47"/>
      <c r="BN94" s="47"/>
      <c r="BO94" s="47"/>
      <c r="BP94" s="47"/>
      <c r="BQ94" s="47"/>
      <c r="BR94" s="47"/>
      <c r="BS94" s="47"/>
    </row>
    <row r="95" spans="1:71" s="59" customFormat="1" ht="12.75" customHeight="1">
      <c r="A95" s="47" t="s">
        <v>893</v>
      </c>
      <c r="B95" s="59" t="s">
        <v>643</v>
      </c>
      <c r="C95" s="47" t="s">
        <v>769</v>
      </c>
      <c r="D95" s="47">
        <v>6</v>
      </c>
      <c r="E95" s="47">
        <v>4</v>
      </c>
      <c r="F95" s="47">
        <v>30</v>
      </c>
      <c r="G95" s="47">
        <v>0.5</v>
      </c>
      <c r="H95" s="60">
        <v>200</v>
      </c>
      <c r="I95" s="61">
        <v>42907</v>
      </c>
      <c r="J95" s="49">
        <f>Table11[[#This Row],[Date plantation]]-Table11[[#This Row],[Date semis]]</f>
        <v>15</v>
      </c>
      <c r="K95" s="61">
        <v>42922</v>
      </c>
      <c r="L95" s="49">
        <f t="shared" si="5"/>
        <v>62</v>
      </c>
      <c r="M95" s="116">
        <v>42969</v>
      </c>
      <c r="N95" s="116" t="s">
        <v>1902</v>
      </c>
      <c r="O95" s="97"/>
      <c r="P95" s="97"/>
      <c r="Q95" s="97"/>
      <c r="R95" s="97"/>
      <c r="S95" s="97"/>
      <c r="T95" s="97"/>
      <c r="U95" s="97"/>
      <c r="V95" s="97"/>
      <c r="W95" s="97"/>
      <c r="X95" s="97"/>
      <c r="Y95" s="97"/>
      <c r="Z95" s="97"/>
      <c r="AA95" s="97"/>
      <c r="AB95" s="97"/>
      <c r="AC95" s="97"/>
      <c r="AD95" s="97"/>
      <c r="AE95" s="97"/>
      <c r="AF95" s="97"/>
      <c r="AG95" s="97"/>
      <c r="AH95" s="97"/>
      <c r="AI95" s="97"/>
      <c r="AJ95" s="97">
        <v>4</v>
      </c>
      <c r="AK95" s="97">
        <v>20</v>
      </c>
      <c r="AL95" s="97">
        <v>6</v>
      </c>
      <c r="AM95" s="97"/>
      <c r="AN95" s="97"/>
      <c r="AO95" s="97"/>
      <c r="AP95" s="97"/>
      <c r="AQ95" s="97"/>
      <c r="AR95" s="97"/>
      <c r="AS95" s="97"/>
      <c r="AT95" s="97"/>
      <c r="AU95" s="97"/>
      <c r="AV95" s="97"/>
      <c r="AW95" s="97"/>
      <c r="AX95" s="97"/>
      <c r="AY95" s="97"/>
      <c r="AZ95" s="97"/>
      <c r="BA95" s="97"/>
      <c r="BB95" s="47"/>
      <c r="BC95" s="48">
        <v>42982</v>
      </c>
      <c r="BD95" s="49">
        <f t="shared" si="4"/>
        <v>13</v>
      </c>
      <c r="BE95" s="49">
        <f>SUM(Table11[[#This Row],[S13]:[S52]])</f>
        <v>30</v>
      </c>
      <c r="BF95" s="49">
        <v>1</v>
      </c>
      <c r="BG95" s="49">
        <v>5</v>
      </c>
      <c r="BH95" s="49">
        <f>Table11[[#This Row],[Quantité récolté]]*Table11[[#This Row],[Prix de vente Moy.]]/Table11[[#This Row],[Surface cultivée (m²)]]</f>
        <v>6</v>
      </c>
      <c r="BI95" s="51"/>
      <c r="BJ95" s="49"/>
      <c r="BK95" s="49"/>
      <c r="BL95" s="47"/>
      <c r="BM95" s="47"/>
      <c r="BN95" s="47"/>
      <c r="BO95" s="47"/>
      <c r="BP95" s="47"/>
      <c r="BQ95" s="47"/>
      <c r="BR95" s="47"/>
      <c r="BS95" s="47"/>
    </row>
    <row r="96" spans="1:71" s="59" customFormat="1" ht="12.75" customHeight="1">
      <c r="A96" s="47" t="s">
        <v>887</v>
      </c>
      <c r="B96" s="59" t="s">
        <v>862</v>
      </c>
      <c r="C96" s="47" t="s">
        <v>716</v>
      </c>
      <c r="D96" s="47"/>
      <c r="E96" s="47"/>
      <c r="F96" s="47"/>
      <c r="G96" s="47">
        <v>0.5</v>
      </c>
      <c r="H96" s="60">
        <v>200</v>
      </c>
      <c r="I96" s="61">
        <v>42907</v>
      </c>
      <c r="J96" s="49">
        <f>Table11[[#This Row],[Date plantation]]-Table11[[#This Row],[Date semis]]</f>
        <v>11</v>
      </c>
      <c r="K96" s="61">
        <v>42918</v>
      </c>
      <c r="L96" s="49">
        <f t="shared" si="5"/>
        <v>58</v>
      </c>
      <c r="M96" s="116">
        <v>42965</v>
      </c>
      <c r="N96" s="116" t="s">
        <v>1902</v>
      </c>
      <c r="O96" s="97"/>
      <c r="P96" s="97"/>
      <c r="Q96" s="97"/>
      <c r="R96" s="97"/>
      <c r="S96" s="97"/>
      <c r="T96" s="97"/>
      <c r="U96" s="97"/>
      <c r="V96" s="97"/>
      <c r="W96" s="97"/>
      <c r="X96" s="97"/>
      <c r="Y96" s="97"/>
      <c r="Z96" s="97"/>
      <c r="AA96" s="97"/>
      <c r="AB96" s="97"/>
      <c r="AC96" s="97"/>
      <c r="AD96" s="97"/>
      <c r="AE96" s="97"/>
      <c r="AF96" s="97"/>
      <c r="AG96" s="97"/>
      <c r="AH96" s="97"/>
      <c r="AI96" s="97">
        <v>4</v>
      </c>
      <c r="AJ96" s="97">
        <v>10</v>
      </c>
      <c r="AK96" s="97">
        <v>13</v>
      </c>
      <c r="AL96" s="97">
        <v>16</v>
      </c>
      <c r="AM96" s="97">
        <v>2</v>
      </c>
      <c r="AN96" s="97"/>
      <c r="AO96" s="97"/>
      <c r="AP96" s="97"/>
      <c r="AQ96" s="97"/>
      <c r="AR96" s="97"/>
      <c r="AS96" s="97"/>
      <c r="AT96" s="97"/>
      <c r="AU96" s="97"/>
      <c r="AV96" s="97"/>
      <c r="AW96" s="97"/>
      <c r="AX96" s="97"/>
      <c r="AY96" s="97"/>
      <c r="AZ96" s="97"/>
      <c r="BA96" s="97"/>
      <c r="BB96" s="47"/>
      <c r="BC96" s="48">
        <v>42989</v>
      </c>
      <c r="BD96" s="49">
        <f t="shared" si="4"/>
        <v>24</v>
      </c>
      <c r="BE96" s="49">
        <f>SUM(Table11[[#This Row],[S13]:[S52]])</f>
        <v>45</v>
      </c>
      <c r="BF96" s="49">
        <v>1</v>
      </c>
      <c r="BG96" s="49">
        <v>11</v>
      </c>
      <c r="BH96" s="49">
        <f>Table11[[#This Row],[Quantité récolté]]*Table11[[#This Row],[Prix de vente Moy.]]/Table11[[#This Row],[Surface cultivée (m²)]]</f>
        <v>4.0909090909090908</v>
      </c>
      <c r="BI96" s="51"/>
      <c r="BJ96" s="49"/>
      <c r="BK96" s="49"/>
      <c r="BL96" s="47"/>
      <c r="BM96" s="47"/>
      <c r="BN96" s="47"/>
      <c r="BO96" s="47"/>
      <c r="BP96" s="47"/>
      <c r="BQ96" s="47"/>
      <c r="BR96" s="47"/>
      <c r="BS96" s="47"/>
    </row>
    <row r="97" spans="1:71" s="59" customFormat="1" ht="12.75" customHeight="1">
      <c r="A97" s="47" t="s">
        <v>775</v>
      </c>
      <c r="B97" s="59" t="s">
        <v>863</v>
      </c>
      <c r="C97" s="47" t="s">
        <v>821</v>
      </c>
      <c r="D97" s="47">
        <v>22</v>
      </c>
      <c r="E97" s="47">
        <v>3</v>
      </c>
      <c r="F97" s="47">
        <v>30</v>
      </c>
      <c r="G97" s="47">
        <v>300</v>
      </c>
      <c r="H97" s="60"/>
      <c r="I97" s="61">
        <v>42911</v>
      </c>
      <c r="J97" s="49">
        <f>Table11[[#This Row],[Date plantation]]-Table11[[#This Row],[Date semis]]</f>
        <v>0</v>
      </c>
      <c r="K97" s="61">
        <v>42911</v>
      </c>
      <c r="L97" s="49">
        <f t="shared" si="5"/>
        <v>58</v>
      </c>
      <c r="M97" s="116">
        <v>42969</v>
      </c>
      <c r="N97" s="116" t="s">
        <v>33</v>
      </c>
      <c r="O97" s="97"/>
      <c r="P97" s="97"/>
      <c r="Q97" s="97"/>
      <c r="R97" s="97"/>
      <c r="S97" s="97"/>
      <c r="T97" s="97"/>
      <c r="U97" s="97"/>
      <c r="V97" s="97"/>
      <c r="W97" s="97"/>
      <c r="X97" s="97"/>
      <c r="Y97" s="97"/>
      <c r="Z97" s="97"/>
      <c r="AA97" s="97"/>
      <c r="AB97" s="97"/>
      <c r="AC97" s="97"/>
      <c r="AD97" s="97"/>
      <c r="AE97" s="97"/>
      <c r="AF97" s="97"/>
      <c r="AG97" s="97"/>
      <c r="AH97" s="97"/>
      <c r="AI97" s="97"/>
      <c r="AJ97" s="97">
        <v>1.5</v>
      </c>
      <c r="AK97" s="97">
        <f>6+10</f>
        <v>16</v>
      </c>
      <c r="AL97" s="97">
        <v>17</v>
      </c>
      <c r="AM97" s="97">
        <v>16</v>
      </c>
      <c r="AN97" s="97">
        <v>2</v>
      </c>
      <c r="AO97" s="97"/>
      <c r="AP97" s="97"/>
      <c r="AQ97" s="97"/>
      <c r="AR97" s="97"/>
      <c r="AS97" s="97"/>
      <c r="AT97" s="97"/>
      <c r="AU97" s="97"/>
      <c r="AV97" s="97"/>
      <c r="AW97" s="97"/>
      <c r="AX97" s="97"/>
      <c r="AY97" s="97"/>
      <c r="AZ97" s="97"/>
      <c r="BA97" s="97"/>
      <c r="BB97" s="47"/>
      <c r="BC97" s="48">
        <v>42996</v>
      </c>
      <c r="BD97" s="49">
        <f t="shared" si="4"/>
        <v>27</v>
      </c>
      <c r="BE97" s="49">
        <f>SUM(Table11[[#This Row],[S13]:[S52]])</f>
        <v>52.5</v>
      </c>
      <c r="BF97" s="49">
        <v>7</v>
      </c>
      <c r="BG97" s="49">
        <v>22</v>
      </c>
      <c r="BH97" s="49">
        <f>Table11[[#This Row],[Quantité récolté]]*Table11[[#This Row],[Prix de vente Moy.]]/Table11[[#This Row],[Surface cultivée (m²)]]</f>
        <v>16.704545454545453</v>
      </c>
      <c r="BI97" s="51"/>
      <c r="BJ97" s="49"/>
      <c r="BK97" s="49"/>
      <c r="BL97" s="47"/>
      <c r="BM97" s="47"/>
      <c r="BN97" s="47"/>
      <c r="BO97" s="47"/>
      <c r="BP97" s="47"/>
      <c r="BQ97" s="47"/>
      <c r="BR97" s="47"/>
      <c r="BS97" s="47"/>
    </row>
    <row r="98" spans="1:71" s="59" customFormat="1" ht="12.75" customHeight="1">
      <c r="A98" s="47" t="s">
        <v>867</v>
      </c>
      <c r="B98" s="59" t="s">
        <v>868</v>
      </c>
      <c r="C98" s="47"/>
      <c r="D98" s="47"/>
      <c r="E98" s="47"/>
      <c r="F98" s="47"/>
      <c r="G98" s="47">
        <v>11</v>
      </c>
      <c r="H98" s="47">
        <v>3</v>
      </c>
      <c r="I98" s="78">
        <v>42911</v>
      </c>
      <c r="J98" s="49">
        <f>Table11[[#This Row],[Date plantation]]-Table11[[#This Row],[Date semis]]</f>
        <v>0</v>
      </c>
      <c r="K98" s="61">
        <v>42911</v>
      </c>
      <c r="L98" s="49">
        <f t="shared" si="5"/>
        <v>72</v>
      </c>
      <c r="M98" s="116">
        <v>42983</v>
      </c>
      <c r="N98" s="116" t="s">
        <v>1902</v>
      </c>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v>5</v>
      </c>
      <c r="AN98" s="97">
        <v>2</v>
      </c>
      <c r="AO98" s="97">
        <v>3</v>
      </c>
      <c r="AP98" s="97">
        <v>4</v>
      </c>
      <c r="AQ98" s="97"/>
      <c r="AR98" s="97"/>
      <c r="AS98" s="97"/>
      <c r="AT98" s="97"/>
      <c r="AU98" s="97"/>
      <c r="AV98" s="97"/>
      <c r="AW98" s="97"/>
      <c r="AX98" s="97"/>
      <c r="AY98" s="97"/>
      <c r="AZ98" s="97"/>
      <c r="BA98" s="97"/>
      <c r="BB98" s="47"/>
      <c r="BC98" s="48">
        <v>43010</v>
      </c>
      <c r="BD98" s="49">
        <f t="shared" ref="BD98:BD129" si="6">BC98-M98</f>
        <v>27</v>
      </c>
      <c r="BE98" s="49">
        <f>SUM(Table11[[#This Row],[S13]:[S52]])</f>
        <v>14</v>
      </c>
      <c r="BF98" s="49">
        <v>1</v>
      </c>
      <c r="BG98" s="49">
        <v>11</v>
      </c>
      <c r="BH98" s="49">
        <f>Table11[[#This Row],[Quantité récolté]]*Table11[[#This Row],[Prix de vente Moy.]]/Table11[[#This Row],[Surface cultivée (m²)]]</f>
        <v>1.2727272727272727</v>
      </c>
      <c r="BI98" s="51"/>
      <c r="BJ98" s="49"/>
      <c r="BK98" s="49"/>
      <c r="BL98" s="47"/>
      <c r="BM98" s="47"/>
      <c r="BN98" s="47"/>
      <c r="BO98" s="47"/>
      <c r="BP98" s="47"/>
      <c r="BQ98" s="47"/>
      <c r="BR98" s="47"/>
      <c r="BS98" s="47"/>
    </row>
    <row r="99" spans="1:71" s="59" customFormat="1" ht="12.75" customHeight="1">
      <c r="A99" s="47" t="s">
        <v>869</v>
      </c>
      <c r="B99" s="59" t="s">
        <v>870</v>
      </c>
      <c r="C99" s="47" t="s">
        <v>871</v>
      </c>
      <c r="D99" s="47">
        <v>33</v>
      </c>
      <c r="E99" s="47">
        <v>7</v>
      </c>
      <c r="F99" s="47">
        <v>5</v>
      </c>
      <c r="G99" s="47">
        <v>10</v>
      </c>
      <c r="H99" s="60"/>
      <c r="I99" s="61">
        <v>42912</v>
      </c>
      <c r="J99" s="49">
        <f>Table11[[#This Row],[Date plantation]]-Table11[[#This Row],[Date semis]]</f>
        <v>0</v>
      </c>
      <c r="K99" s="61">
        <v>42912</v>
      </c>
      <c r="L99" s="49">
        <f t="shared" ref="L99:L130" si="7">M99-I99</f>
        <v>88</v>
      </c>
      <c r="M99" s="116">
        <v>43000</v>
      </c>
      <c r="N99" s="116" t="s">
        <v>32</v>
      </c>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v>6</v>
      </c>
      <c r="AO99" s="97">
        <v>26</v>
      </c>
      <c r="AP99" s="97">
        <f>14+18</f>
        <v>32</v>
      </c>
      <c r="AQ99" s="97">
        <v>28</v>
      </c>
      <c r="AR99" s="97">
        <v>20</v>
      </c>
      <c r="AS99" s="97">
        <v>20</v>
      </c>
      <c r="AT99" s="97">
        <v>7</v>
      </c>
      <c r="AU99" s="97"/>
      <c r="AV99" s="97"/>
      <c r="AW99" s="97"/>
      <c r="AX99" s="97"/>
      <c r="AY99" s="97"/>
      <c r="AZ99" s="97"/>
      <c r="BA99" s="97"/>
      <c r="BB99" s="47"/>
      <c r="BC99" s="48">
        <v>43038</v>
      </c>
      <c r="BD99" s="49">
        <f t="shared" si="6"/>
        <v>38</v>
      </c>
      <c r="BE99" s="49">
        <f>SUM(Table11[[#This Row],[S13]:[S52]])</f>
        <v>139</v>
      </c>
      <c r="BF99" s="49">
        <v>2.4</v>
      </c>
      <c r="BG99" s="49">
        <v>33</v>
      </c>
      <c r="BH99" s="49">
        <f>Table11[[#This Row],[Quantité récolté]]*Table11[[#This Row],[Prix de vente Moy.]]/Table11[[#This Row],[Surface cultivée (m²)]]</f>
        <v>10.109090909090908</v>
      </c>
      <c r="BI99" s="51"/>
      <c r="BJ99" s="49"/>
      <c r="BK99" s="49"/>
      <c r="BL99" s="47"/>
      <c r="BM99" s="47"/>
      <c r="BN99" s="47"/>
      <c r="BO99" s="47"/>
      <c r="BP99" s="47"/>
      <c r="BQ99" s="47"/>
      <c r="BR99" s="47"/>
      <c r="BS99" s="47"/>
    </row>
    <row r="100" spans="1:71" s="59" customFormat="1" ht="12.75" customHeight="1">
      <c r="A100" s="47" t="s">
        <v>895</v>
      </c>
      <c r="B100" s="59" t="s">
        <v>894</v>
      </c>
      <c r="C100" s="47" t="s">
        <v>852</v>
      </c>
      <c r="D100" s="47">
        <v>15</v>
      </c>
      <c r="E100" s="47">
        <v>6</v>
      </c>
      <c r="F100" s="47">
        <v>10</v>
      </c>
      <c r="G100" s="47">
        <v>2.5</v>
      </c>
      <c r="H100" s="60">
        <v>1200</v>
      </c>
      <c r="I100" s="61">
        <v>42912</v>
      </c>
      <c r="J100" s="49">
        <f>Table11[[#This Row],[Date plantation]]-Table11[[#This Row],[Date semis]]</f>
        <v>14</v>
      </c>
      <c r="K100" s="61">
        <v>42926</v>
      </c>
      <c r="L100" s="49">
        <f t="shared" si="7"/>
        <v>29</v>
      </c>
      <c r="M100" s="116">
        <v>42941</v>
      </c>
      <c r="N100" s="116" t="s">
        <v>33</v>
      </c>
      <c r="O100" s="97"/>
      <c r="P100" s="97"/>
      <c r="Q100" s="97"/>
      <c r="R100" s="97"/>
      <c r="S100" s="97"/>
      <c r="T100" s="97"/>
      <c r="U100" s="97"/>
      <c r="V100" s="97"/>
      <c r="W100" s="97"/>
      <c r="X100" s="97"/>
      <c r="Y100" s="97"/>
      <c r="Z100" s="97"/>
      <c r="AA100" s="97"/>
      <c r="AB100" s="97"/>
      <c r="AC100" s="97"/>
      <c r="AD100" s="97"/>
      <c r="AE100" s="97"/>
      <c r="AF100" s="97">
        <v>1</v>
      </c>
      <c r="AG100" s="97">
        <v>3</v>
      </c>
      <c r="AH100" s="97">
        <v>5</v>
      </c>
      <c r="AI100" s="97">
        <v>4</v>
      </c>
      <c r="AJ100" s="97">
        <v>4</v>
      </c>
      <c r="AK100" s="97"/>
      <c r="AL100" s="97">
        <v>3</v>
      </c>
      <c r="AM100" s="97">
        <v>8</v>
      </c>
      <c r="AN100" s="97">
        <v>1</v>
      </c>
      <c r="AO100" s="97"/>
      <c r="AP100" s="97"/>
      <c r="AQ100" s="97"/>
      <c r="AR100" s="97"/>
      <c r="AS100" s="97"/>
      <c r="AT100" s="97"/>
      <c r="AU100" s="97"/>
      <c r="AV100" s="97"/>
      <c r="AW100" s="97"/>
      <c r="AX100" s="97"/>
      <c r="AY100" s="97"/>
      <c r="AZ100" s="97"/>
      <c r="BA100" s="97"/>
      <c r="BB100" s="47"/>
      <c r="BC100" s="48">
        <v>42996</v>
      </c>
      <c r="BD100" s="49">
        <f t="shared" si="6"/>
        <v>55</v>
      </c>
      <c r="BE100" s="49">
        <f>SUM(Table11[[#This Row],[S13]:[S52]])</f>
        <v>29</v>
      </c>
      <c r="BF100" s="49">
        <v>8</v>
      </c>
      <c r="BG100" s="49">
        <v>15</v>
      </c>
      <c r="BH100" s="49">
        <f>Table11[[#This Row],[Quantité récolté]]*Table11[[#This Row],[Prix de vente Moy.]]/Table11[[#This Row],[Surface cultivée (m²)]]</f>
        <v>15.466666666666667</v>
      </c>
      <c r="BI100" s="51"/>
      <c r="BJ100" s="49"/>
      <c r="BK100" s="49"/>
      <c r="BL100" s="47"/>
      <c r="BM100" s="47"/>
      <c r="BN100" s="47"/>
      <c r="BO100" s="47"/>
      <c r="BP100" s="47"/>
      <c r="BQ100" s="47"/>
      <c r="BR100" s="47"/>
      <c r="BS100" s="47"/>
    </row>
    <row r="101" spans="1:71" s="59" customFormat="1" ht="12.75" customHeight="1">
      <c r="A101" s="47" t="s">
        <v>892</v>
      </c>
      <c r="B101" s="59" t="s">
        <v>874</v>
      </c>
      <c r="C101" s="47" t="s">
        <v>785</v>
      </c>
      <c r="D101" s="47">
        <v>22</v>
      </c>
      <c r="E101" s="47">
        <v>1</v>
      </c>
      <c r="F101" s="47">
        <v>50</v>
      </c>
      <c r="G101" s="47"/>
      <c r="H101" s="60">
        <v>60</v>
      </c>
      <c r="I101" s="61">
        <v>42912</v>
      </c>
      <c r="J101" s="49">
        <f>Table11[[#This Row],[Date plantation]]-Table11[[#This Row],[Date semis]]</f>
        <v>10</v>
      </c>
      <c r="K101" s="61">
        <v>42922</v>
      </c>
      <c r="L101" s="49">
        <f t="shared" si="7"/>
        <v>42</v>
      </c>
      <c r="M101" s="116">
        <v>42954</v>
      </c>
      <c r="N101" s="116" t="s">
        <v>33</v>
      </c>
      <c r="O101" s="97"/>
      <c r="P101" s="97"/>
      <c r="Q101" s="97"/>
      <c r="R101" s="97"/>
      <c r="S101" s="97"/>
      <c r="T101" s="97"/>
      <c r="U101" s="97"/>
      <c r="V101" s="97"/>
      <c r="W101" s="97"/>
      <c r="X101" s="97"/>
      <c r="Y101" s="97"/>
      <c r="Z101" s="97"/>
      <c r="AA101" s="97"/>
      <c r="AB101" s="97"/>
      <c r="AC101" s="97"/>
      <c r="AD101" s="97"/>
      <c r="AE101" s="97"/>
      <c r="AF101" s="97"/>
      <c r="AG101" s="97"/>
      <c r="AH101" s="97">
        <v>1</v>
      </c>
      <c r="AI101" s="97">
        <v>1</v>
      </c>
      <c r="AJ101" s="97">
        <v>1</v>
      </c>
      <c r="AK101" s="97">
        <v>4</v>
      </c>
      <c r="AL101" s="97">
        <v>3</v>
      </c>
      <c r="AM101" s="97">
        <v>2</v>
      </c>
      <c r="AN101" s="97">
        <v>1</v>
      </c>
      <c r="AO101" s="97"/>
      <c r="AP101" s="97"/>
      <c r="AQ101" s="97"/>
      <c r="AR101" s="97"/>
      <c r="AS101" s="97"/>
      <c r="AT101" s="97"/>
      <c r="AU101" s="97"/>
      <c r="AV101" s="97"/>
      <c r="AW101" s="97"/>
      <c r="AX101" s="97"/>
      <c r="AY101" s="97"/>
      <c r="AZ101" s="97"/>
      <c r="BA101" s="97"/>
      <c r="BB101" s="47"/>
      <c r="BC101" s="48">
        <v>42996</v>
      </c>
      <c r="BD101" s="49">
        <f t="shared" si="6"/>
        <v>42</v>
      </c>
      <c r="BE101" s="49">
        <f>SUM(Table11[[#This Row],[S13]:[S52]])</f>
        <v>13</v>
      </c>
      <c r="BF101" s="49">
        <v>1.8</v>
      </c>
      <c r="BG101" s="49">
        <v>33</v>
      </c>
      <c r="BH101" s="49">
        <f>Table11[[#This Row],[Quantité récolté]]*Table11[[#This Row],[Prix de vente Moy.]]/Table11[[#This Row],[Surface cultivée (m²)]]</f>
        <v>0.70909090909090911</v>
      </c>
      <c r="BI101" s="51"/>
      <c r="BJ101" s="49"/>
      <c r="BK101" s="49"/>
      <c r="BL101" s="47"/>
      <c r="BM101" s="47"/>
      <c r="BN101" s="47"/>
      <c r="BO101" s="47"/>
      <c r="BP101" s="47"/>
      <c r="BQ101" s="47"/>
      <c r="BR101" s="47"/>
      <c r="BS101" s="47"/>
    </row>
    <row r="102" spans="1:71" s="59" customFormat="1" ht="12.75" customHeight="1">
      <c r="A102" s="84" t="s">
        <v>892</v>
      </c>
      <c r="B102" s="85" t="s">
        <v>875</v>
      </c>
      <c r="C102" s="47" t="s">
        <v>802</v>
      </c>
      <c r="D102" s="47">
        <v>11</v>
      </c>
      <c r="E102" s="47">
        <v>1</v>
      </c>
      <c r="F102" s="47">
        <v>50</v>
      </c>
      <c r="G102" s="47"/>
      <c r="H102" s="60">
        <v>30</v>
      </c>
      <c r="I102" s="61">
        <v>42912</v>
      </c>
      <c r="J102" s="49">
        <f>Table11[[#This Row],[Date plantation]]-Table11[[#This Row],[Date semis]]</f>
        <v>10</v>
      </c>
      <c r="K102" s="61">
        <v>42922</v>
      </c>
      <c r="L102" s="49">
        <f t="shared" si="7"/>
        <v>-42912</v>
      </c>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47"/>
      <c r="BC102" s="48"/>
      <c r="BD102" s="49">
        <f t="shared" si="6"/>
        <v>0</v>
      </c>
      <c r="BE102" s="49">
        <f>SUM(Table11[[#This Row],[S13]:[S52]])</f>
        <v>0</v>
      </c>
      <c r="BF102" s="49"/>
      <c r="BG102" s="49"/>
      <c r="BH102" s="49" t="e">
        <f>Table11[[#This Row],[Quantité récolté]]*Table11[[#This Row],[Prix de vente Moy.]]/Table11[[#This Row],[Surface cultivée (m²)]]</f>
        <v>#DIV/0!</v>
      </c>
      <c r="BI102" s="51"/>
      <c r="BJ102" s="49"/>
      <c r="BK102" s="49"/>
      <c r="BL102" s="47"/>
      <c r="BM102" s="47"/>
      <c r="BN102" s="47"/>
      <c r="BO102" s="47"/>
      <c r="BP102" s="47"/>
      <c r="BQ102" s="47"/>
      <c r="BR102" s="47"/>
      <c r="BS102" s="47"/>
    </row>
    <row r="103" spans="1:71" s="59" customFormat="1" ht="12.75" customHeight="1">
      <c r="A103" s="47" t="s">
        <v>765</v>
      </c>
      <c r="B103" s="59" t="s">
        <v>176</v>
      </c>
      <c r="C103" s="47" t="s">
        <v>876</v>
      </c>
      <c r="D103" s="47"/>
      <c r="E103" s="47"/>
      <c r="F103" s="47"/>
      <c r="G103" s="47"/>
      <c r="H103" s="60">
        <v>250</v>
      </c>
      <c r="I103" s="61">
        <v>42914</v>
      </c>
      <c r="J103" s="49">
        <f>Table11[[#This Row],[Date plantation]]-Table11[[#This Row],[Date semis]]</f>
        <v>26</v>
      </c>
      <c r="K103" s="61">
        <v>42940</v>
      </c>
      <c r="L103" s="49">
        <f t="shared" si="7"/>
        <v>118</v>
      </c>
      <c r="M103" s="116">
        <v>43032</v>
      </c>
      <c r="N103" s="116" t="s">
        <v>33</v>
      </c>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v>1</v>
      </c>
      <c r="AT103" s="97">
        <v>5</v>
      </c>
      <c r="AU103" s="97">
        <v>7</v>
      </c>
      <c r="AV103" s="97">
        <v>3</v>
      </c>
      <c r="AW103" s="97"/>
      <c r="AX103" s="97"/>
      <c r="AY103" s="97"/>
      <c r="AZ103" s="97"/>
      <c r="BA103" s="97"/>
      <c r="BB103" s="47"/>
      <c r="BC103" s="48">
        <v>43061</v>
      </c>
      <c r="BD103" s="49">
        <f t="shared" si="6"/>
        <v>29</v>
      </c>
      <c r="BE103" s="49">
        <f>SUM(Table11[[#This Row],[S13]:[S52]])</f>
        <v>16</v>
      </c>
      <c r="BF103" s="49">
        <v>2.9</v>
      </c>
      <c r="BG103" s="49">
        <v>22</v>
      </c>
      <c r="BH103" s="49">
        <f>Table11[[#This Row],[Quantité récolté]]*Table11[[#This Row],[Prix de vente Moy.]]/Table11[[#This Row],[Surface cultivée (m²)]]</f>
        <v>2.1090909090909089</v>
      </c>
      <c r="BI103" s="51"/>
      <c r="BJ103" s="49"/>
      <c r="BK103" s="49"/>
      <c r="BL103" s="47"/>
      <c r="BM103" s="47"/>
      <c r="BN103" s="47"/>
      <c r="BO103" s="47"/>
      <c r="BP103" s="47"/>
      <c r="BQ103" s="47"/>
      <c r="BR103" s="47"/>
      <c r="BS103" s="47"/>
    </row>
    <row r="104" spans="1:71" s="59" customFormat="1" ht="12.75" customHeight="1">
      <c r="A104" s="47" t="s">
        <v>901</v>
      </c>
      <c r="B104" s="59" t="s">
        <v>191</v>
      </c>
      <c r="C104" s="47" t="s">
        <v>770</v>
      </c>
      <c r="D104" s="47">
        <v>22</v>
      </c>
      <c r="E104" s="47">
        <v>4</v>
      </c>
      <c r="F104" s="47">
        <v>30</v>
      </c>
      <c r="G104" s="47"/>
      <c r="H104" s="60">
        <v>200</v>
      </c>
      <c r="I104" s="61">
        <v>42914</v>
      </c>
      <c r="J104" s="49">
        <f>Table11[[#This Row],[Date plantation]]-Table11[[#This Row],[Date semis]]</f>
        <v>21</v>
      </c>
      <c r="K104" s="61">
        <v>42935</v>
      </c>
      <c r="L104" s="49">
        <f t="shared" si="7"/>
        <v>97</v>
      </c>
      <c r="M104" s="116">
        <v>43011</v>
      </c>
      <c r="N104" s="116" t="s">
        <v>1902</v>
      </c>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v>7</v>
      </c>
      <c r="AQ104" s="97"/>
      <c r="AR104" s="97">
        <v>14</v>
      </c>
      <c r="AS104" s="97">
        <v>8</v>
      </c>
      <c r="AT104" s="97">
        <v>6</v>
      </c>
      <c r="AU104" s="97">
        <v>27</v>
      </c>
      <c r="AV104" s="97">
        <v>23</v>
      </c>
      <c r="AW104" s="97">
        <v>9</v>
      </c>
      <c r="AX104" s="97">
        <v>7</v>
      </c>
      <c r="AY104" s="97"/>
      <c r="AZ104" s="97"/>
      <c r="BA104" s="97"/>
      <c r="BB104" s="47"/>
      <c r="BC104" s="48">
        <v>43088</v>
      </c>
      <c r="BD104" s="49">
        <f t="shared" si="6"/>
        <v>77</v>
      </c>
      <c r="BE104" s="49">
        <f>SUM(Table11[[#This Row],[S13]:[S52]])</f>
        <v>101</v>
      </c>
      <c r="BF104" s="49">
        <v>1</v>
      </c>
      <c r="BG104" s="49">
        <v>22</v>
      </c>
      <c r="BH104" s="49">
        <f>Table11[[#This Row],[Quantité récolté]]*Table11[[#This Row],[Prix de vente Moy.]]/Table11[[#This Row],[Surface cultivée (m²)]]</f>
        <v>4.5909090909090908</v>
      </c>
      <c r="BI104" s="51"/>
      <c r="BJ104" s="49"/>
      <c r="BK104" s="49"/>
      <c r="BL104" s="47"/>
      <c r="BM104" s="47"/>
      <c r="BN104" s="47"/>
      <c r="BO104" s="47"/>
      <c r="BP104" s="47"/>
      <c r="BQ104" s="47"/>
      <c r="BR104" s="47"/>
      <c r="BS104" s="47"/>
    </row>
    <row r="105" spans="1:71" s="59" customFormat="1" ht="12.75" customHeight="1">
      <c r="A105" s="84" t="s">
        <v>925</v>
      </c>
      <c r="B105" s="85" t="s">
        <v>682</v>
      </c>
      <c r="C105" s="47"/>
      <c r="D105" s="47"/>
      <c r="E105" s="47"/>
      <c r="F105" s="47"/>
      <c r="G105" s="47"/>
      <c r="H105" s="60">
        <v>50</v>
      </c>
      <c r="I105" s="61">
        <v>42914</v>
      </c>
      <c r="J105" s="49">
        <f>Table11[[#This Row],[Date plantation]]-Table11[[#This Row],[Date semis]]</f>
        <v>26</v>
      </c>
      <c r="K105" s="61">
        <v>42940</v>
      </c>
      <c r="L105" s="49">
        <f t="shared" si="7"/>
        <v>-42914</v>
      </c>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47"/>
      <c r="BC105" s="48"/>
      <c r="BD105" s="49">
        <f t="shared" si="6"/>
        <v>0</v>
      </c>
      <c r="BE105" s="49">
        <f>SUM(Table11[[#This Row],[S13]:[S52]])</f>
        <v>0</v>
      </c>
      <c r="BF105" s="49">
        <v>2.6</v>
      </c>
      <c r="BG105" s="49">
        <v>11</v>
      </c>
      <c r="BH105" s="49">
        <f>Table11[[#This Row],[Quantité récolté]]*Table11[[#This Row],[Prix de vente Moy.]]/Table11[[#This Row],[Surface cultivée (m²)]]</f>
        <v>0</v>
      </c>
      <c r="BI105" s="51"/>
      <c r="BJ105" s="49"/>
      <c r="BK105" s="49"/>
      <c r="BL105" s="47"/>
      <c r="BM105" s="47"/>
      <c r="BN105" s="47"/>
      <c r="BO105" s="47"/>
      <c r="BP105" s="47"/>
      <c r="BQ105" s="47"/>
      <c r="BR105" s="47"/>
      <c r="BS105" s="47"/>
    </row>
    <row r="106" spans="1:71" s="59" customFormat="1" ht="12.75" customHeight="1">
      <c r="A106" s="47" t="s">
        <v>899</v>
      </c>
      <c r="B106" s="59" t="s">
        <v>681</v>
      </c>
      <c r="C106" s="47" t="s">
        <v>761</v>
      </c>
      <c r="D106" s="47"/>
      <c r="E106" s="47"/>
      <c r="F106" s="47"/>
      <c r="G106" s="47"/>
      <c r="H106" s="60">
        <v>100</v>
      </c>
      <c r="I106" s="61">
        <v>42914</v>
      </c>
      <c r="J106" s="49">
        <f>Table11[[#This Row],[Date plantation]]-Table11[[#This Row],[Date semis]]</f>
        <v>19</v>
      </c>
      <c r="K106" s="61">
        <v>42933</v>
      </c>
      <c r="L106" s="49">
        <f t="shared" si="7"/>
        <v>121</v>
      </c>
      <c r="M106" s="116">
        <v>43035</v>
      </c>
      <c r="N106" s="116" t="s">
        <v>33</v>
      </c>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v>1</v>
      </c>
      <c r="AT106" s="97">
        <v>1</v>
      </c>
      <c r="AU106" s="97">
        <v>3</v>
      </c>
      <c r="AV106" s="97">
        <v>2</v>
      </c>
      <c r="AW106" s="97"/>
      <c r="AX106" s="97"/>
      <c r="AY106" s="97"/>
      <c r="AZ106" s="97"/>
      <c r="BA106" s="97"/>
      <c r="BB106" s="47"/>
      <c r="BC106" s="48">
        <v>43088</v>
      </c>
      <c r="BD106" s="49">
        <f t="shared" si="6"/>
        <v>53</v>
      </c>
      <c r="BE106" s="49">
        <f>SUM(Table11[[#This Row],[S13]:[S52]])</f>
        <v>7</v>
      </c>
      <c r="BF106" s="49">
        <v>2.5</v>
      </c>
      <c r="BG106" s="49">
        <v>11</v>
      </c>
      <c r="BH106" s="49">
        <f>Table11[[#This Row],[Quantité récolté]]*Table11[[#This Row],[Prix de vente Moy.]]/Table11[[#This Row],[Surface cultivée (m²)]]</f>
        <v>1.5909090909090908</v>
      </c>
      <c r="BI106" s="51"/>
      <c r="BJ106" s="49"/>
      <c r="BK106" s="49"/>
      <c r="BL106" s="47"/>
      <c r="BM106" s="47"/>
      <c r="BN106" s="47"/>
      <c r="BO106" s="47"/>
      <c r="BP106" s="47"/>
      <c r="BQ106" s="47"/>
      <c r="BR106" s="47"/>
      <c r="BS106" s="47"/>
    </row>
    <row r="107" spans="1:71" s="59" customFormat="1" ht="12.75" customHeight="1">
      <c r="A107" s="47" t="s">
        <v>750</v>
      </c>
      <c r="B107" s="59" t="s">
        <v>675</v>
      </c>
      <c r="C107" s="47" t="s">
        <v>878</v>
      </c>
      <c r="D107" s="47">
        <v>22</v>
      </c>
      <c r="E107" s="47">
        <v>3</v>
      </c>
      <c r="F107" s="47">
        <v>20</v>
      </c>
      <c r="G107" s="47"/>
      <c r="H107" s="60">
        <v>400</v>
      </c>
      <c r="I107" s="61">
        <v>42914</v>
      </c>
      <c r="J107" s="49">
        <f>Table11[[#This Row],[Date plantation]]-Table11[[#This Row],[Date semis]]</f>
        <v>29</v>
      </c>
      <c r="K107" s="61">
        <v>42943</v>
      </c>
      <c r="L107" s="49">
        <f t="shared" si="7"/>
        <v>97</v>
      </c>
      <c r="M107" s="116">
        <v>43011</v>
      </c>
      <c r="N107" s="116" t="s">
        <v>33</v>
      </c>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f>3+3</f>
        <v>6</v>
      </c>
      <c r="AQ107" s="97">
        <v>15</v>
      </c>
      <c r="AR107" s="97">
        <v>11</v>
      </c>
      <c r="AS107" s="97">
        <v>8</v>
      </c>
      <c r="AT107" s="97">
        <v>6</v>
      </c>
      <c r="AU107" s="97">
        <v>6</v>
      </c>
      <c r="AV107" s="97">
        <v>15</v>
      </c>
      <c r="AW107" s="97"/>
      <c r="AX107" s="97"/>
      <c r="AY107" s="97"/>
      <c r="AZ107" s="97"/>
      <c r="BA107" s="97"/>
      <c r="BB107" s="47"/>
      <c r="BC107" s="48">
        <v>43056</v>
      </c>
      <c r="BD107" s="49">
        <f t="shared" si="6"/>
        <v>45</v>
      </c>
      <c r="BE107" s="49">
        <f>SUM(Table11[[#This Row],[S13]:[S52]])</f>
        <v>67</v>
      </c>
      <c r="BF107" s="49">
        <v>3.5</v>
      </c>
      <c r="BG107" s="49">
        <v>22</v>
      </c>
      <c r="BH107" s="49">
        <f>Table11[[#This Row],[Quantité récolté]]*Table11[[#This Row],[Prix de vente Moy.]]/Table11[[#This Row],[Surface cultivée (m²)]]</f>
        <v>10.659090909090908</v>
      </c>
      <c r="BI107" s="51"/>
      <c r="BJ107" s="49"/>
      <c r="BK107" s="49"/>
      <c r="BL107" s="47"/>
      <c r="BM107" s="47"/>
      <c r="BN107" s="47"/>
      <c r="BO107" s="47"/>
      <c r="BP107" s="47"/>
      <c r="BQ107" s="47"/>
      <c r="BR107" s="47"/>
      <c r="BS107" s="47"/>
    </row>
    <row r="108" spans="1:71" s="59" customFormat="1" ht="12.75" customHeight="1">
      <c r="A108" s="47" t="s">
        <v>737</v>
      </c>
      <c r="B108" s="59" t="s">
        <v>886</v>
      </c>
      <c r="C108" s="47" t="s">
        <v>821</v>
      </c>
      <c r="D108" s="47">
        <v>22</v>
      </c>
      <c r="E108" s="47">
        <v>3</v>
      </c>
      <c r="F108" s="47">
        <v>30</v>
      </c>
      <c r="G108" s="47">
        <v>300</v>
      </c>
      <c r="H108" s="60"/>
      <c r="I108" s="61">
        <v>42919</v>
      </c>
      <c r="J108" s="49">
        <f>Table11[[#This Row],[Date plantation]]-Table11[[#This Row],[Date semis]]</f>
        <v>0</v>
      </c>
      <c r="K108" s="61">
        <v>42919</v>
      </c>
      <c r="L108" s="49">
        <f t="shared" si="7"/>
        <v>64</v>
      </c>
      <c r="M108" s="116">
        <v>42983</v>
      </c>
      <c r="N108" s="116" t="s">
        <v>33</v>
      </c>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v>3</v>
      </c>
      <c r="AM108" s="97">
        <v>12</v>
      </c>
      <c r="AN108" s="97">
        <v>7</v>
      </c>
      <c r="AO108" s="97">
        <v>8</v>
      </c>
      <c r="AP108" s="97">
        <v>12</v>
      </c>
      <c r="AQ108" s="97"/>
      <c r="AR108" s="97"/>
      <c r="AS108" s="97"/>
      <c r="AT108" s="97"/>
      <c r="AU108" s="97"/>
      <c r="AV108" s="97"/>
      <c r="AW108" s="97"/>
      <c r="AX108" s="97"/>
      <c r="AY108" s="97"/>
      <c r="AZ108" s="97"/>
      <c r="BA108" s="97"/>
      <c r="BB108" s="47"/>
      <c r="BC108" s="48">
        <v>43010</v>
      </c>
      <c r="BD108" s="49">
        <f t="shared" si="6"/>
        <v>27</v>
      </c>
      <c r="BE108" s="49">
        <f>SUM(Table11[[#This Row],[S13]:[S52]])</f>
        <v>42</v>
      </c>
      <c r="BF108" s="49">
        <v>7</v>
      </c>
      <c r="BG108" s="49">
        <v>22</v>
      </c>
      <c r="BH108" s="49">
        <f>Table11[[#This Row],[Quantité récolté]]*Table11[[#This Row],[Prix de vente Moy.]]/Table11[[#This Row],[Surface cultivée (m²)]]</f>
        <v>13.363636363636363</v>
      </c>
      <c r="BI108" s="51"/>
      <c r="BJ108" s="49"/>
      <c r="BK108" s="49"/>
      <c r="BL108" s="47"/>
      <c r="BM108" s="47"/>
      <c r="BN108" s="47"/>
      <c r="BO108" s="47"/>
      <c r="BP108" s="47"/>
      <c r="BQ108" s="47"/>
      <c r="BR108" s="47"/>
      <c r="BS108" s="47"/>
    </row>
    <row r="109" spans="1:71" s="59" customFormat="1" ht="12.75" customHeight="1">
      <c r="A109" s="47" t="s">
        <v>772</v>
      </c>
      <c r="B109" s="59" t="s">
        <v>900</v>
      </c>
      <c r="C109" s="47" t="s">
        <v>888</v>
      </c>
      <c r="D109" s="47">
        <v>15</v>
      </c>
      <c r="E109" s="47">
        <v>4</v>
      </c>
      <c r="F109" s="47">
        <v>30</v>
      </c>
      <c r="G109" s="47"/>
      <c r="H109" s="60">
        <v>200</v>
      </c>
      <c r="I109" s="61">
        <v>42921</v>
      </c>
      <c r="J109" s="49">
        <f>Table11[[#This Row],[Date plantation]]-Table11[[#This Row],[Date semis]]</f>
        <v>22</v>
      </c>
      <c r="K109" s="61">
        <v>42943</v>
      </c>
      <c r="L109" s="49">
        <f t="shared" si="7"/>
        <v>90</v>
      </c>
      <c r="M109" s="116">
        <v>43011</v>
      </c>
      <c r="N109" s="116" t="s">
        <v>1902</v>
      </c>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f>9+8</f>
        <v>17</v>
      </c>
      <c r="AQ109" s="97">
        <v>15</v>
      </c>
      <c r="AR109" s="97">
        <v>17</v>
      </c>
      <c r="AS109" s="97">
        <v>20</v>
      </c>
      <c r="AT109" s="97">
        <v>10</v>
      </c>
      <c r="AU109" s="97"/>
      <c r="AV109" s="97"/>
      <c r="AW109" s="97"/>
      <c r="AX109" s="97"/>
      <c r="AY109" s="97"/>
      <c r="AZ109" s="97"/>
      <c r="BA109" s="97"/>
      <c r="BB109" s="47"/>
      <c r="BC109" s="48">
        <v>43038</v>
      </c>
      <c r="BD109" s="49">
        <f t="shared" si="6"/>
        <v>27</v>
      </c>
      <c r="BE109" s="49">
        <f>SUM(Table11[[#This Row],[S13]:[S52]])</f>
        <v>79</v>
      </c>
      <c r="BF109" s="49">
        <v>1.3</v>
      </c>
      <c r="BG109" s="49">
        <v>11</v>
      </c>
      <c r="BH109" s="49">
        <f>Table11[[#This Row],[Quantité récolté]]*Table11[[#This Row],[Prix de vente Moy.]]/Table11[[#This Row],[Surface cultivée (m²)]]</f>
        <v>9.336363636363636</v>
      </c>
      <c r="BI109" s="51"/>
      <c r="BJ109" s="49"/>
      <c r="BK109" s="49"/>
      <c r="BL109" s="47"/>
      <c r="BM109" s="47"/>
      <c r="BN109" s="47"/>
      <c r="BO109" s="47"/>
      <c r="BP109" s="47"/>
      <c r="BQ109" s="47"/>
      <c r="BR109" s="47"/>
      <c r="BS109" s="47"/>
    </row>
    <row r="110" spans="1:71" s="59" customFormat="1" ht="12.75" customHeight="1">
      <c r="A110" s="47" t="s">
        <v>772</v>
      </c>
      <c r="B110" s="59" t="s">
        <v>661</v>
      </c>
      <c r="C110" s="47" t="s">
        <v>889</v>
      </c>
      <c r="D110" s="47">
        <v>5</v>
      </c>
      <c r="E110" s="47">
        <v>4</v>
      </c>
      <c r="F110" s="47">
        <v>30</v>
      </c>
      <c r="G110" s="47"/>
      <c r="H110" s="60">
        <v>300</v>
      </c>
      <c r="I110" s="61">
        <v>42921</v>
      </c>
      <c r="J110" s="49">
        <f>Table11[[#This Row],[Date plantation]]-Table11[[#This Row],[Date semis]]</f>
        <v>22</v>
      </c>
      <c r="K110" s="61">
        <v>42943</v>
      </c>
      <c r="L110" s="49">
        <f t="shared" si="7"/>
        <v>90</v>
      </c>
      <c r="M110" s="116">
        <v>43011</v>
      </c>
      <c r="N110" s="116" t="s">
        <v>1902</v>
      </c>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v>19</v>
      </c>
      <c r="AQ110" s="97"/>
      <c r="AR110" s="97">
        <v>3</v>
      </c>
      <c r="AS110" s="97">
        <v>7</v>
      </c>
      <c r="AT110" s="97">
        <v>14</v>
      </c>
      <c r="AU110" s="97">
        <v>1</v>
      </c>
      <c r="AV110" s="97">
        <v>4</v>
      </c>
      <c r="AW110" s="97"/>
      <c r="AX110" s="97"/>
      <c r="AY110" s="97"/>
      <c r="AZ110" s="97"/>
      <c r="BA110" s="97"/>
      <c r="BB110" s="47"/>
      <c r="BC110" s="48">
        <v>43045</v>
      </c>
      <c r="BD110" s="49">
        <f t="shared" si="6"/>
        <v>34</v>
      </c>
      <c r="BE110" s="49">
        <f>SUM(Table11[[#This Row],[S13]:[S52]])</f>
        <v>48</v>
      </c>
      <c r="BF110" s="49">
        <v>1.3</v>
      </c>
      <c r="BG110" s="49">
        <v>11</v>
      </c>
      <c r="BH110" s="49">
        <f>Table11[[#This Row],[Quantité récolté]]*Table11[[#This Row],[Prix de vente Moy.]]/Table11[[#This Row],[Surface cultivée (m²)]]</f>
        <v>5.6727272727272728</v>
      </c>
      <c r="BI110" s="51"/>
      <c r="BJ110" s="49"/>
      <c r="BK110" s="49"/>
      <c r="BL110" s="47"/>
      <c r="BM110" s="47"/>
      <c r="BN110" s="47"/>
      <c r="BO110" s="47"/>
      <c r="BP110" s="47"/>
      <c r="BQ110" s="47"/>
      <c r="BR110" s="47"/>
      <c r="BS110" s="47"/>
    </row>
    <row r="111" spans="1:71" s="59" customFormat="1" ht="12.75" customHeight="1">
      <c r="A111" s="47" t="s">
        <v>903</v>
      </c>
      <c r="B111" s="59" t="s">
        <v>652</v>
      </c>
      <c r="C111" s="47" t="s">
        <v>890</v>
      </c>
      <c r="D111" s="47">
        <v>16</v>
      </c>
      <c r="E111" s="47">
        <v>4</v>
      </c>
      <c r="F111" s="47">
        <v>30</v>
      </c>
      <c r="G111" s="47"/>
      <c r="H111" s="60">
        <v>300</v>
      </c>
      <c r="I111" s="61">
        <v>42921</v>
      </c>
      <c r="J111" s="49">
        <f>Table11[[#This Row],[Date plantation]]-Table11[[#This Row],[Date semis]]</f>
        <v>14</v>
      </c>
      <c r="K111" s="61">
        <v>42935</v>
      </c>
      <c r="L111" s="49">
        <f t="shared" si="7"/>
        <v>62</v>
      </c>
      <c r="M111" s="116">
        <v>42983</v>
      </c>
      <c r="N111" s="116" t="s">
        <v>1902</v>
      </c>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v>22</v>
      </c>
      <c r="AM111" s="97">
        <v>32</v>
      </c>
      <c r="AN111" s="97">
        <v>33</v>
      </c>
      <c r="AO111" s="97">
        <v>4</v>
      </c>
      <c r="AP111" s="97">
        <v>4</v>
      </c>
      <c r="AQ111" s="97">
        <v>1</v>
      </c>
      <c r="AR111" s="97">
        <v>2</v>
      </c>
      <c r="AS111" s="97"/>
      <c r="AT111" s="97"/>
      <c r="AU111" s="97"/>
      <c r="AV111" s="97"/>
      <c r="AW111" s="97"/>
      <c r="AX111" s="97"/>
      <c r="AY111" s="97"/>
      <c r="AZ111" s="97"/>
      <c r="BA111" s="97"/>
      <c r="BB111" s="47"/>
      <c r="BC111" s="48">
        <v>43024</v>
      </c>
      <c r="BD111" s="49">
        <f t="shared" si="6"/>
        <v>41</v>
      </c>
      <c r="BE111" s="49">
        <f>SUM(Table11[[#This Row],[S13]:[S52]])</f>
        <v>98</v>
      </c>
      <c r="BF111" s="49">
        <v>1</v>
      </c>
      <c r="BG111" s="49">
        <v>11</v>
      </c>
      <c r="BH111" s="49">
        <f>Table11[[#This Row],[Quantité récolté]]*Table11[[#This Row],[Prix de vente Moy.]]/Table11[[#This Row],[Surface cultivée (m²)]]</f>
        <v>8.9090909090909083</v>
      </c>
      <c r="BI111" s="51"/>
      <c r="BJ111" s="49"/>
      <c r="BK111" s="49"/>
      <c r="BL111" s="47"/>
      <c r="BM111" s="47"/>
      <c r="BN111" s="47"/>
      <c r="BO111" s="47"/>
      <c r="BP111" s="47"/>
      <c r="BQ111" s="47"/>
      <c r="BR111" s="47"/>
      <c r="BS111" s="47"/>
    </row>
    <row r="112" spans="1:71" s="59" customFormat="1" ht="12.75" customHeight="1">
      <c r="A112" s="47" t="s">
        <v>902</v>
      </c>
      <c r="B112" s="59" t="s">
        <v>891</v>
      </c>
      <c r="C112" s="47" t="s">
        <v>877</v>
      </c>
      <c r="D112" s="47"/>
      <c r="E112" s="47"/>
      <c r="F112" s="47"/>
      <c r="G112" s="47"/>
      <c r="H112" s="60">
        <v>1000</v>
      </c>
      <c r="I112" s="61">
        <v>42921</v>
      </c>
      <c r="J112" s="49">
        <f>Table11[[#This Row],[Date plantation]]-Table11[[#This Row],[Date semis]]</f>
        <v>14</v>
      </c>
      <c r="K112" s="61">
        <v>42935</v>
      </c>
      <c r="L112" s="49">
        <f t="shared" si="7"/>
        <v>34</v>
      </c>
      <c r="M112" s="116">
        <v>42955</v>
      </c>
      <c r="N112" s="116" t="s">
        <v>33</v>
      </c>
      <c r="O112" s="97"/>
      <c r="P112" s="97"/>
      <c r="Q112" s="97"/>
      <c r="R112" s="97"/>
      <c r="S112" s="97"/>
      <c r="T112" s="97"/>
      <c r="U112" s="97"/>
      <c r="V112" s="97"/>
      <c r="W112" s="97"/>
      <c r="X112" s="97"/>
      <c r="Y112" s="97"/>
      <c r="Z112" s="97"/>
      <c r="AA112" s="97"/>
      <c r="AB112" s="97"/>
      <c r="AC112" s="97"/>
      <c r="AD112" s="97"/>
      <c r="AE112" s="97"/>
      <c r="AF112" s="97"/>
      <c r="AG112" s="97"/>
      <c r="AH112" s="97">
        <v>5</v>
      </c>
      <c r="AI112" s="97">
        <v>4</v>
      </c>
      <c r="AJ112" s="97">
        <v>5</v>
      </c>
      <c r="AK112" s="97">
        <v>3</v>
      </c>
      <c r="AL112" s="97">
        <v>3</v>
      </c>
      <c r="AM112" s="97">
        <v>2</v>
      </c>
      <c r="AN112" s="97">
        <v>1</v>
      </c>
      <c r="AO112" s="97"/>
      <c r="AP112" s="97"/>
      <c r="AQ112" s="97"/>
      <c r="AR112" s="97"/>
      <c r="AS112" s="97"/>
      <c r="AT112" s="97"/>
      <c r="AU112" s="97"/>
      <c r="AV112" s="97"/>
      <c r="AW112" s="97"/>
      <c r="AX112" s="97"/>
      <c r="AY112" s="97"/>
      <c r="AZ112" s="97"/>
      <c r="BA112" s="97"/>
      <c r="BB112" s="47"/>
      <c r="BC112" s="48">
        <v>42996</v>
      </c>
      <c r="BD112" s="49">
        <f t="shared" si="6"/>
        <v>41</v>
      </c>
      <c r="BE112" s="49">
        <f>SUM(Table11[[#This Row],[S13]:[S52]])</f>
        <v>23</v>
      </c>
      <c r="BF112" s="49">
        <v>8</v>
      </c>
      <c r="BG112" s="49">
        <v>15</v>
      </c>
      <c r="BH112" s="49">
        <f>Table11[[#This Row],[Quantité récolté]]*Table11[[#This Row],[Prix de vente Moy.]]/Table11[[#This Row],[Surface cultivée (m²)]]</f>
        <v>12.266666666666667</v>
      </c>
      <c r="BI112" s="51"/>
      <c r="BJ112" s="49"/>
      <c r="BK112" s="49"/>
      <c r="BL112" s="47"/>
      <c r="BM112" s="47"/>
      <c r="BN112" s="47"/>
      <c r="BO112" s="47"/>
      <c r="BP112" s="47"/>
      <c r="BQ112" s="47"/>
      <c r="BR112" s="47"/>
      <c r="BS112" s="47"/>
    </row>
    <row r="113" spans="1:71" s="59" customFormat="1" ht="12.75" customHeight="1">
      <c r="A113" s="47" t="s">
        <v>990</v>
      </c>
      <c r="B113" s="59" t="s">
        <v>896</v>
      </c>
      <c r="C113" s="47" t="s">
        <v>821</v>
      </c>
      <c r="D113" s="47">
        <v>11</v>
      </c>
      <c r="E113" s="47">
        <v>3</v>
      </c>
      <c r="F113" s="47">
        <v>30</v>
      </c>
      <c r="G113" s="47">
        <v>250</v>
      </c>
      <c r="H113" s="60"/>
      <c r="I113" s="61">
        <v>42926</v>
      </c>
      <c r="J113" s="49">
        <f>Table11[[#This Row],[Date plantation]]-Table11[[#This Row],[Date semis]]</f>
        <v>0</v>
      </c>
      <c r="K113" s="61">
        <v>42926</v>
      </c>
      <c r="L113" s="49">
        <f t="shared" si="7"/>
        <v>57</v>
      </c>
      <c r="M113" s="116">
        <v>42983</v>
      </c>
      <c r="N113" s="116" t="s">
        <v>33</v>
      </c>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v>4.5</v>
      </c>
      <c r="AM113" s="97">
        <v>4</v>
      </c>
      <c r="AN113" s="97">
        <v>7</v>
      </c>
      <c r="AO113" s="97">
        <v>5</v>
      </c>
      <c r="AP113" s="97"/>
      <c r="AQ113" s="97"/>
      <c r="AR113" s="97"/>
      <c r="AS113" s="97"/>
      <c r="AT113" s="97"/>
      <c r="AU113" s="97"/>
      <c r="AV113" s="97"/>
      <c r="AW113" s="97"/>
      <c r="AX113" s="97"/>
      <c r="AY113" s="97"/>
      <c r="AZ113" s="97"/>
      <c r="BA113" s="97"/>
      <c r="BB113" s="47"/>
      <c r="BC113" s="48">
        <v>43003</v>
      </c>
      <c r="BD113" s="49">
        <f t="shared" si="6"/>
        <v>20</v>
      </c>
      <c r="BE113" s="49">
        <f>SUM(Table11[[#This Row],[S13]:[S52]])</f>
        <v>20.5</v>
      </c>
      <c r="BF113" s="49">
        <v>7</v>
      </c>
      <c r="BG113" s="49">
        <v>11</v>
      </c>
      <c r="BH113" s="49">
        <f>Table11[[#This Row],[Quantité récolté]]*Table11[[#This Row],[Prix de vente Moy.]]/Table11[[#This Row],[Surface cultivée (m²)]]</f>
        <v>13.045454545454545</v>
      </c>
      <c r="BI113" s="51"/>
      <c r="BJ113" s="49"/>
      <c r="BK113" s="49"/>
      <c r="BL113" s="47"/>
      <c r="BM113" s="47"/>
      <c r="BN113" s="47"/>
      <c r="BO113" s="47"/>
      <c r="BP113" s="47"/>
      <c r="BQ113" s="47"/>
      <c r="BR113" s="47"/>
      <c r="BS113" s="47"/>
    </row>
    <row r="114" spans="1:71" s="59" customFormat="1" ht="12.75" customHeight="1">
      <c r="A114" s="47" t="s">
        <v>929</v>
      </c>
      <c r="B114" s="59" t="s">
        <v>897</v>
      </c>
      <c r="C114" s="47" t="s">
        <v>898</v>
      </c>
      <c r="D114" s="47"/>
      <c r="E114" s="47"/>
      <c r="F114" s="47"/>
      <c r="G114" s="47"/>
      <c r="H114" s="60">
        <v>1300</v>
      </c>
      <c r="I114" s="61">
        <v>42928</v>
      </c>
      <c r="J114" s="49">
        <f>Table11[[#This Row],[Date plantation]]-Table11[[#This Row],[Date semis]]</f>
        <v>14</v>
      </c>
      <c r="K114" s="61">
        <v>42942</v>
      </c>
      <c r="L114" s="49">
        <f t="shared" si="7"/>
        <v>37</v>
      </c>
      <c r="M114" s="116">
        <v>42965</v>
      </c>
      <c r="N114" s="116" t="s">
        <v>33</v>
      </c>
      <c r="O114" s="97"/>
      <c r="P114" s="97"/>
      <c r="Q114" s="97"/>
      <c r="R114" s="97"/>
      <c r="S114" s="97"/>
      <c r="T114" s="97"/>
      <c r="U114" s="97"/>
      <c r="V114" s="97"/>
      <c r="W114" s="97"/>
      <c r="X114" s="97"/>
      <c r="Y114" s="97"/>
      <c r="Z114" s="97"/>
      <c r="AA114" s="97"/>
      <c r="AB114" s="97"/>
      <c r="AC114" s="97"/>
      <c r="AD114" s="97"/>
      <c r="AE114" s="97"/>
      <c r="AF114" s="97"/>
      <c r="AG114" s="97"/>
      <c r="AH114" s="97"/>
      <c r="AI114" s="97">
        <v>4</v>
      </c>
      <c r="AJ114" s="97">
        <v>9</v>
      </c>
      <c r="AK114" s="97">
        <v>4</v>
      </c>
      <c r="AL114" s="97">
        <v>9</v>
      </c>
      <c r="AM114" s="97">
        <v>5</v>
      </c>
      <c r="AN114" s="97">
        <v>3</v>
      </c>
      <c r="AO114" s="97">
        <v>8</v>
      </c>
      <c r="AP114" s="97">
        <v>6</v>
      </c>
      <c r="AQ114" s="97"/>
      <c r="AR114" s="97">
        <v>1</v>
      </c>
      <c r="AS114" s="97"/>
      <c r="AT114" s="97"/>
      <c r="AU114" s="97"/>
      <c r="AV114" s="97"/>
      <c r="AW114" s="97"/>
      <c r="AX114" s="97"/>
      <c r="AY114" s="97"/>
      <c r="AZ114" s="97"/>
      <c r="BA114" s="97"/>
      <c r="BB114" s="47"/>
      <c r="BC114" s="48">
        <v>43024</v>
      </c>
      <c r="BD114" s="49">
        <f t="shared" si="6"/>
        <v>59</v>
      </c>
      <c r="BE114" s="49">
        <f>SUM(Table11[[#This Row],[S13]:[S52]])</f>
        <v>49</v>
      </c>
      <c r="BF114" s="49">
        <v>7.5</v>
      </c>
      <c r="BG114" s="49">
        <v>11</v>
      </c>
      <c r="BH114" s="49">
        <f>Table11[[#This Row],[Quantité récolté]]*Table11[[#This Row],[Prix de vente Moy.]]/Table11[[#This Row],[Surface cultivée (m²)]]</f>
        <v>33.409090909090907</v>
      </c>
      <c r="BI114" s="51"/>
      <c r="BJ114" s="49"/>
      <c r="BK114" s="49"/>
      <c r="BL114" s="47"/>
      <c r="BM114" s="47"/>
      <c r="BN114" s="47"/>
      <c r="BO114" s="47"/>
      <c r="BP114" s="47"/>
      <c r="BQ114" s="47"/>
      <c r="BR114" s="47"/>
      <c r="BS114" s="47"/>
    </row>
    <row r="115" spans="1:71" s="59" customFormat="1" ht="12.75" customHeight="1">
      <c r="A115" s="47" t="s">
        <v>953</v>
      </c>
      <c r="B115" s="59" t="s">
        <v>908</v>
      </c>
      <c r="C115" s="47" t="s">
        <v>720</v>
      </c>
      <c r="D115" s="47"/>
      <c r="E115" s="47"/>
      <c r="F115" s="47"/>
      <c r="G115" s="47"/>
      <c r="H115" s="60">
        <v>500</v>
      </c>
      <c r="I115" s="61">
        <v>42935</v>
      </c>
      <c r="J115" s="49">
        <f>Table11[[#This Row],[Date plantation]]-Table11[[#This Row],[Date semis]]</f>
        <v>29</v>
      </c>
      <c r="K115" s="61">
        <v>42964</v>
      </c>
      <c r="L115" s="49">
        <f t="shared" si="7"/>
        <v>65</v>
      </c>
      <c r="M115" s="116">
        <v>43000</v>
      </c>
      <c r="N115" s="116" t="s">
        <v>1903</v>
      </c>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v>3</v>
      </c>
      <c r="AO115" s="97">
        <v>16</v>
      </c>
      <c r="AP115" s="97">
        <f>5+3</f>
        <v>8</v>
      </c>
      <c r="AQ115" s="97">
        <v>26</v>
      </c>
      <c r="AR115" s="97">
        <v>15</v>
      </c>
      <c r="AS115" s="97">
        <v>4</v>
      </c>
      <c r="AT115" s="97">
        <v>13</v>
      </c>
      <c r="AU115" s="97">
        <v>4</v>
      </c>
      <c r="AV115" s="97"/>
      <c r="AW115" s="97"/>
      <c r="AX115" s="97"/>
      <c r="AY115" s="97"/>
      <c r="AZ115" s="97"/>
      <c r="BA115" s="97"/>
      <c r="BB115" s="47"/>
      <c r="BC115" s="48">
        <v>43054</v>
      </c>
      <c r="BD115" s="49">
        <f t="shared" si="6"/>
        <v>54</v>
      </c>
      <c r="BE115" s="49">
        <f>SUM(Table11[[#This Row],[S13]:[S52]])</f>
        <v>89</v>
      </c>
      <c r="BF115" s="49">
        <v>1</v>
      </c>
      <c r="BG115" s="49">
        <v>7</v>
      </c>
      <c r="BH115" s="49">
        <f>Table11[[#This Row],[Quantité récolté]]*Table11[[#This Row],[Prix de vente Moy.]]/Table11[[#This Row],[Surface cultivée (m²)]]</f>
        <v>12.714285714285714</v>
      </c>
      <c r="BI115" s="51"/>
      <c r="BJ115" s="49"/>
      <c r="BK115" s="49"/>
      <c r="BL115" s="47"/>
      <c r="BM115" s="47"/>
      <c r="BN115" s="47"/>
      <c r="BO115" s="47"/>
      <c r="BP115" s="47"/>
      <c r="BQ115" s="47"/>
      <c r="BR115" s="47"/>
      <c r="BS115" s="47"/>
    </row>
    <row r="116" spans="1:71" s="59" customFormat="1" ht="12.75" customHeight="1">
      <c r="A116" s="47" t="s">
        <v>946</v>
      </c>
      <c r="B116" s="59" t="s">
        <v>904</v>
      </c>
      <c r="C116" s="47" t="s">
        <v>761</v>
      </c>
      <c r="D116" s="47"/>
      <c r="E116" s="47"/>
      <c r="F116" s="47"/>
      <c r="G116" s="47"/>
      <c r="H116" s="60">
        <v>100</v>
      </c>
      <c r="I116" s="61">
        <v>42935</v>
      </c>
      <c r="J116" s="49">
        <f>Table11[[#This Row],[Date plantation]]-Table11[[#This Row],[Date semis]]</f>
        <v>22</v>
      </c>
      <c r="K116" s="61">
        <v>42957</v>
      </c>
      <c r="L116" s="49">
        <f t="shared" si="7"/>
        <v>82</v>
      </c>
      <c r="M116" s="116">
        <v>43017</v>
      </c>
      <c r="N116" s="116" t="s">
        <v>33</v>
      </c>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v>17</v>
      </c>
      <c r="AR116" s="97">
        <v>4</v>
      </c>
      <c r="AS116" s="97">
        <v>16</v>
      </c>
      <c r="AT116" s="97"/>
      <c r="AU116" s="97"/>
      <c r="AV116" s="97"/>
      <c r="AW116" s="97"/>
      <c r="AX116" s="97"/>
      <c r="AY116" s="97"/>
      <c r="AZ116" s="97"/>
      <c r="BA116" s="97"/>
      <c r="BB116" s="47"/>
      <c r="BC116" s="48">
        <v>43031</v>
      </c>
      <c r="BD116" s="49">
        <f t="shared" si="6"/>
        <v>14</v>
      </c>
      <c r="BE116" s="49">
        <f>SUM(Table11[[#This Row],[S13]:[S52]])</f>
        <v>37</v>
      </c>
      <c r="BF116" s="49">
        <v>2.6</v>
      </c>
      <c r="BG116" s="49">
        <v>9</v>
      </c>
      <c r="BH116" s="49">
        <f>Table11[[#This Row],[Quantité récolté]]*Table11[[#This Row],[Prix de vente Moy.]]/Table11[[#This Row],[Surface cultivée (m²)]]</f>
        <v>10.68888888888889</v>
      </c>
      <c r="BI116" s="51"/>
      <c r="BJ116" s="49"/>
      <c r="BK116" s="49"/>
      <c r="BL116" s="47"/>
      <c r="BM116" s="47"/>
      <c r="BN116" s="47"/>
      <c r="BO116" s="47"/>
      <c r="BP116" s="47"/>
      <c r="BQ116" s="47"/>
      <c r="BR116" s="47"/>
      <c r="BS116" s="47"/>
    </row>
    <row r="117" spans="1:71" s="59" customFormat="1" ht="12.75" customHeight="1">
      <c r="A117" s="47" t="s">
        <v>959</v>
      </c>
      <c r="B117" s="59" t="s">
        <v>905</v>
      </c>
      <c r="C117" s="47" t="s">
        <v>898</v>
      </c>
      <c r="D117" s="47"/>
      <c r="E117" s="47"/>
      <c r="F117" s="47"/>
      <c r="G117" s="47"/>
      <c r="H117" s="60">
        <v>1300</v>
      </c>
      <c r="I117" s="61">
        <v>42935</v>
      </c>
      <c r="J117" s="49">
        <f>Table11[[#This Row],[Date plantation]]-Table11[[#This Row],[Date semis]]</f>
        <v>18</v>
      </c>
      <c r="K117" s="61">
        <v>42953</v>
      </c>
      <c r="L117" s="49">
        <f t="shared" si="7"/>
        <v>40</v>
      </c>
      <c r="M117" s="116">
        <v>42975</v>
      </c>
      <c r="N117" s="116" t="s">
        <v>33</v>
      </c>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v>6</v>
      </c>
      <c r="AL117" s="97">
        <v>6</v>
      </c>
      <c r="AM117" s="97">
        <v>1</v>
      </c>
      <c r="AN117" s="97">
        <v>4</v>
      </c>
      <c r="AO117" s="97"/>
      <c r="AP117" s="97">
        <v>6</v>
      </c>
      <c r="AQ117" s="97"/>
      <c r="AR117" s="97">
        <v>2</v>
      </c>
      <c r="AS117" s="97"/>
      <c r="AT117" s="97">
        <v>1</v>
      </c>
      <c r="AU117" s="97"/>
      <c r="AV117" s="97"/>
      <c r="AW117" s="97"/>
      <c r="AX117" s="97"/>
      <c r="AY117" s="97"/>
      <c r="AZ117" s="97"/>
      <c r="BA117" s="97"/>
      <c r="BB117" s="47"/>
      <c r="BC117" s="48">
        <v>43038</v>
      </c>
      <c r="BD117" s="49">
        <f t="shared" si="6"/>
        <v>63</v>
      </c>
      <c r="BE117" s="49">
        <f>SUM(Table11[[#This Row],[S13]:[S52]])</f>
        <v>26</v>
      </c>
      <c r="BF117" s="49">
        <v>7.5</v>
      </c>
      <c r="BG117" s="49">
        <v>11</v>
      </c>
      <c r="BH117" s="49">
        <f>Table11[[#This Row],[Quantité récolté]]*Table11[[#This Row],[Prix de vente Moy.]]/Table11[[#This Row],[Surface cultivée (m²)]]</f>
        <v>17.727272727272727</v>
      </c>
      <c r="BI117" s="51"/>
      <c r="BJ117" s="49"/>
      <c r="BK117" s="49"/>
      <c r="BL117" s="47"/>
      <c r="BM117" s="47"/>
      <c r="BN117" s="47"/>
      <c r="BO117" s="47"/>
      <c r="BP117" s="47"/>
      <c r="BQ117" s="47"/>
      <c r="BR117" s="47"/>
      <c r="BS117" s="47"/>
    </row>
    <row r="118" spans="1:71" s="59" customFormat="1" ht="12.75" customHeight="1">
      <c r="A118" s="47" t="s">
        <v>945</v>
      </c>
      <c r="B118" s="59" t="s">
        <v>906</v>
      </c>
      <c r="C118" s="47" t="s">
        <v>907</v>
      </c>
      <c r="D118" s="47"/>
      <c r="E118" s="47"/>
      <c r="F118" s="47"/>
      <c r="G118" s="47"/>
      <c r="H118" s="60">
        <v>200</v>
      </c>
      <c r="I118" s="61">
        <v>42935</v>
      </c>
      <c r="J118" s="49">
        <f>Table11[[#This Row],[Date plantation]]-Table11[[#This Row],[Date semis]]</f>
        <v>26</v>
      </c>
      <c r="K118" s="61">
        <v>42961</v>
      </c>
      <c r="L118" s="49">
        <f t="shared" si="7"/>
        <v>107</v>
      </c>
      <c r="M118" s="116">
        <v>43042</v>
      </c>
      <c r="N118" s="116" t="s">
        <v>1902</v>
      </c>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v>10</v>
      </c>
      <c r="AU118" s="97">
        <v>4</v>
      </c>
      <c r="AV118" s="97">
        <v>4</v>
      </c>
      <c r="AW118" s="97">
        <v>5</v>
      </c>
      <c r="AX118" s="97">
        <v>5</v>
      </c>
      <c r="AY118" s="97"/>
      <c r="AZ118" s="97"/>
      <c r="BA118" s="97"/>
      <c r="BB118" s="47"/>
      <c r="BC118" s="48">
        <v>43088</v>
      </c>
      <c r="BD118" s="49">
        <f t="shared" si="6"/>
        <v>46</v>
      </c>
      <c r="BE118" s="49">
        <f>SUM(Table11[[#This Row],[S13]:[S52]])</f>
        <v>28</v>
      </c>
      <c r="BF118" s="49">
        <v>1.5</v>
      </c>
      <c r="BG118" s="49">
        <v>15</v>
      </c>
      <c r="BH118" s="49">
        <f>Table11[[#This Row],[Quantité récolté]]*Table11[[#This Row],[Prix de vente Moy.]]/Table11[[#This Row],[Surface cultivée (m²)]]</f>
        <v>2.8</v>
      </c>
      <c r="BI118" s="51"/>
      <c r="BJ118" s="49"/>
      <c r="BK118" s="49"/>
      <c r="BL118" s="47"/>
      <c r="BM118" s="47"/>
      <c r="BN118" s="47"/>
      <c r="BO118" s="47"/>
      <c r="BP118" s="47"/>
      <c r="BQ118" s="47"/>
      <c r="BR118" s="47"/>
      <c r="BS118" s="47"/>
    </row>
    <row r="119" spans="1:71" s="59" customFormat="1" ht="12.75" customHeight="1">
      <c r="A119" s="47" t="s">
        <v>808</v>
      </c>
      <c r="B119" s="59" t="s">
        <v>909</v>
      </c>
      <c r="C119" s="47"/>
      <c r="D119" s="47">
        <v>22</v>
      </c>
      <c r="E119" s="47">
        <v>4</v>
      </c>
      <c r="F119" s="47">
        <v>25</v>
      </c>
      <c r="G119" s="47"/>
      <c r="H119" s="60">
        <v>400</v>
      </c>
      <c r="I119" s="61">
        <v>42935</v>
      </c>
      <c r="J119" s="49">
        <f>Table11[[#This Row],[Date plantation]]-Table11[[#This Row],[Date semis]]</f>
        <v>22</v>
      </c>
      <c r="K119" s="61">
        <v>42957</v>
      </c>
      <c r="L119" s="49">
        <f t="shared" si="7"/>
        <v>55</v>
      </c>
      <c r="M119" s="116">
        <v>42990</v>
      </c>
      <c r="N119" s="116" t="s">
        <v>33</v>
      </c>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v>52</v>
      </c>
      <c r="AN119" s="97">
        <v>21</v>
      </c>
      <c r="AO119" s="97">
        <v>70</v>
      </c>
      <c r="AP119" s="97">
        <v>20</v>
      </c>
      <c r="AQ119" s="97">
        <v>1</v>
      </c>
      <c r="AR119" s="97"/>
      <c r="AS119" s="97"/>
      <c r="AT119" s="97"/>
      <c r="AU119" s="97"/>
      <c r="AV119" s="97"/>
      <c r="AW119" s="97"/>
      <c r="AX119" s="97"/>
      <c r="AY119" s="97"/>
      <c r="AZ119" s="97"/>
      <c r="BA119" s="97"/>
      <c r="BB119" s="47"/>
      <c r="BC119" s="48">
        <v>43017</v>
      </c>
      <c r="BD119" s="49">
        <f t="shared" si="6"/>
        <v>27</v>
      </c>
      <c r="BE119" s="49">
        <f>SUM(Table11[[#This Row],[S13]:[S52]])</f>
        <v>164</v>
      </c>
      <c r="BF119" s="49">
        <v>2</v>
      </c>
      <c r="BG119" s="49">
        <v>22</v>
      </c>
      <c r="BH119" s="49">
        <f>Table11[[#This Row],[Quantité récolté]]*Table11[[#This Row],[Prix de vente Moy.]]/Table11[[#This Row],[Surface cultivée (m²)]]</f>
        <v>14.909090909090908</v>
      </c>
      <c r="BI119" s="51"/>
      <c r="BJ119" s="49"/>
      <c r="BK119" s="49"/>
      <c r="BL119" s="47"/>
      <c r="BM119" s="47"/>
      <c r="BN119" s="47"/>
      <c r="BO119" s="47"/>
      <c r="BP119" s="47"/>
      <c r="BQ119" s="47"/>
      <c r="BR119" s="47"/>
      <c r="BS119" s="47"/>
    </row>
    <row r="120" spans="1:71" s="59" customFormat="1" ht="12.75" customHeight="1">
      <c r="A120" s="47" t="s">
        <v>947</v>
      </c>
      <c r="B120" s="59" t="s">
        <v>666</v>
      </c>
      <c r="C120" s="47" t="s">
        <v>728</v>
      </c>
      <c r="D120" s="47"/>
      <c r="E120" s="47"/>
      <c r="F120" s="47"/>
      <c r="G120" s="47"/>
      <c r="H120" s="60">
        <v>400</v>
      </c>
      <c r="I120" s="61">
        <v>42935</v>
      </c>
      <c r="J120" s="49">
        <f>Table11[[#This Row],[Date plantation]]-Table11[[#This Row],[Date semis]]</f>
        <v>26</v>
      </c>
      <c r="K120" s="61">
        <v>42961</v>
      </c>
      <c r="L120" s="49">
        <f t="shared" si="7"/>
        <v>76</v>
      </c>
      <c r="M120" s="116">
        <v>43011</v>
      </c>
      <c r="N120" s="116" t="s">
        <v>32</v>
      </c>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f>9+24</f>
        <v>33</v>
      </c>
      <c r="AQ120" s="97">
        <v>18</v>
      </c>
      <c r="AR120" s="97">
        <v>22</v>
      </c>
      <c r="AS120" s="97">
        <v>34</v>
      </c>
      <c r="AT120" s="97">
        <v>7</v>
      </c>
      <c r="AU120" s="97">
        <v>15</v>
      </c>
      <c r="AV120" s="97">
        <v>7</v>
      </c>
      <c r="AW120" s="97">
        <v>8</v>
      </c>
      <c r="AX120" s="97">
        <v>3</v>
      </c>
      <c r="AY120" s="97"/>
      <c r="AZ120" s="97"/>
      <c r="BA120" s="97"/>
      <c r="BB120" s="47"/>
      <c r="BC120" s="48">
        <v>43084</v>
      </c>
      <c r="BD120" s="49">
        <f t="shared" si="6"/>
        <v>73</v>
      </c>
      <c r="BE120" s="49">
        <f>SUM(Table11[[#This Row],[S13]:[S52]])</f>
        <v>147</v>
      </c>
      <c r="BF120" s="49">
        <v>1.9</v>
      </c>
      <c r="BG120" s="49">
        <v>22</v>
      </c>
      <c r="BH120" s="49">
        <f>Table11[[#This Row],[Quantité récolté]]*Table11[[#This Row],[Prix de vente Moy.]]/Table11[[#This Row],[Surface cultivée (m²)]]</f>
        <v>12.695454545454545</v>
      </c>
      <c r="BI120" s="51"/>
      <c r="BJ120" s="49"/>
      <c r="BK120" s="49"/>
      <c r="BL120" s="47"/>
      <c r="BM120" s="47"/>
      <c r="BN120" s="47"/>
      <c r="BO120" s="47"/>
      <c r="BP120" s="47"/>
      <c r="BQ120" s="47"/>
      <c r="BR120" s="47"/>
      <c r="BS120" s="47"/>
    </row>
    <row r="121" spans="1:71" s="59" customFormat="1" ht="12.75" customHeight="1">
      <c r="A121" s="47" t="s">
        <v>933</v>
      </c>
      <c r="B121" s="59" t="s">
        <v>926</v>
      </c>
      <c r="C121" s="47" t="s">
        <v>898</v>
      </c>
      <c r="D121" s="47"/>
      <c r="E121" s="47"/>
      <c r="F121" s="47"/>
      <c r="G121" s="47"/>
      <c r="H121" s="60">
        <v>1300</v>
      </c>
      <c r="I121" s="61">
        <v>42947</v>
      </c>
      <c r="J121" s="49">
        <f>Table11[[#This Row],[Date plantation]]-Table11[[#This Row],[Date semis]]</f>
        <v>16</v>
      </c>
      <c r="K121" s="61">
        <v>42963</v>
      </c>
      <c r="L121" s="49">
        <f t="shared" si="7"/>
        <v>39</v>
      </c>
      <c r="M121" s="116">
        <v>42986</v>
      </c>
      <c r="N121" s="116" t="s">
        <v>33</v>
      </c>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v>3</v>
      </c>
      <c r="AM121" s="97">
        <v>1</v>
      </c>
      <c r="AN121" s="97">
        <v>3</v>
      </c>
      <c r="AO121" s="97">
        <v>3</v>
      </c>
      <c r="AP121" s="97">
        <v>6</v>
      </c>
      <c r="AQ121" s="97">
        <v>4</v>
      </c>
      <c r="AR121" s="97">
        <v>2</v>
      </c>
      <c r="AS121" s="97"/>
      <c r="AT121" s="97">
        <v>1</v>
      </c>
      <c r="AU121" s="97"/>
      <c r="AV121" s="97"/>
      <c r="AW121" s="97"/>
      <c r="AX121" s="97"/>
      <c r="AY121" s="97"/>
      <c r="AZ121" s="97"/>
      <c r="BA121" s="97"/>
      <c r="BB121" s="47"/>
      <c r="BC121" s="48">
        <v>43038</v>
      </c>
      <c r="BD121" s="49">
        <f t="shared" si="6"/>
        <v>52</v>
      </c>
      <c r="BE121" s="49">
        <f>SUM(Table11[[#This Row],[S13]:[S52]])</f>
        <v>23</v>
      </c>
      <c r="BF121" s="49">
        <v>7.5</v>
      </c>
      <c r="BG121" s="49">
        <v>15</v>
      </c>
      <c r="BH121" s="49">
        <f>Table11[[#This Row],[Quantité récolté]]*Table11[[#This Row],[Prix de vente Moy.]]/Table11[[#This Row],[Surface cultivée (m²)]]</f>
        <v>11.5</v>
      </c>
      <c r="BI121" s="51"/>
      <c r="BJ121" s="49"/>
      <c r="BK121" s="49"/>
      <c r="BL121" s="47"/>
      <c r="BM121" s="47"/>
      <c r="BN121" s="47"/>
      <c r="BO121" s="47"/>
      <c r="BP121" s="47"/>
      <c r="BQ121" s="47"/>
      <c r="BR121" s="47"/>
      <c r="BS121" s="47"/>
    </row>
    <row r="122" spans="1:71" s="59" customFormat="1" ht="12.75" customHeight="1">
      <c r="A122" s="47" t="s">
        <v>978</v>
      </c>
      <c r="B122" s="59" t="s">
        <v>653</v>
      </c>
      <c r="C122" s="47" t="s">
        <v>716</v>
      </c>
      <c r="D122" s="47"/>
      <c r="E122" s="47"/>
      <c r="F122" s="47"/>
      <c r="G122" s="47"/>
      <c r="H122" s="60">
        <v>200</v>
      </c>
      <c r="I122" s="61">
        <v>42942</v>
      </c>
      <c r="J122" s="49">
        <f>Table11[[#This Row],[Date plantation]]-Table11[[#This Row],[Date semis]]</f>
        <v>19</v>
      </c>
      <c r="K122" s="61">
        <v>42961</v>
      </c>
      <c r="L122" s="49">
        <f t="shared" si="7"/>
        <v>83</v>
      </c>
      <c r="M122" s="116">
        <v>43025</v>
      </c>
      <c r="N122" s="116" t="s">
        <v>1902</v>
      </c>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v>9</v>
      </c>
      <c r="AS122" s="97">
        <v>24</v>
      </c>
      <c r="AT122" s="97">
        <v>12</v>
      </c>
      <c r="AU122" s="97">
        <v>10</v>
      </c>
      <c r="AV122" s="97">
        <v>3</v>
      </c>
      <c r="AW122" s="97"/>
      <c r="AX122" s="97"/>
      <c r="AY122" s="97"/>
      <c r="AZ122" s="97"/>
      <c r="BA122" s="97"/>
      <c r="BB122" s="47"/>
      <c r="BC122" s="48">
        <v>43056</v>
      </c>
      <c r="BD122" s="49">
        <f t="shared" si="6"/>
        <v>31</v>
      </c>
      <c r="BE122" s="49">
        <f>SUM(Table11[[#This Row],[S13]:[S52]])</f>
        <v>58</v>
      </c>
      <c r="BF122" s="49">
        <v>1</v>
      </c>
      <c r="BG122" s="49">
        <v>16</v>
      </c>
      <c r="BH122" s="49">
        <f>Table11[[#This Row],[Quantité récolté]]*Table11[[#This Row],[Prix de vente Moy.]]/Table11[[#This Row],[Surface cultivée (m²)]]</f>
        <v>3.625</v>
      </c>
      <c r="BI122" s="51"/>
      <c r="BJ122" s="49"/>
      <c r="BK122" s="49"/>
      <c r="BL122" s="47"/>
      <c r="BM122" s="47"/>
      <c r="BN122" s="47"/>
      <c r="BO122" s="47"/>
      <c r="BP122" s="47"/>
      <c r="BQ122" s="47"/>
      <c r="BR122" s="47"/>
      <c r="BS122" s="47"/>
    </row>
    <row r="123" spans="1:71" s="59" customFormat="1" ht="12.75" customHeight="1">
      <c r="A123" s="91" t="s">
        <v>981</v>
      </c>
      <c r="B123" s="59" t="s">
        <v>979</v>
      </c>
      <c r="C123" s="91" t="s">
        <v>983</v>
      </c>
      <c r="D123" s="91"/>
      <c r="E123" s="91"/>
      <c r="F123" s="91"/>
      <c r="G123" s="91"/>
      <c r="H123" s="60">
        <v>200</v>
      </c>
      <c r="I123" s="61">
        <v>42942</v>
      </c>
      <c r="J123" s="49">
        <f>Table11[[#This Row],[Date plantation]]-Table11[[#This Row],[Date semis]]</f>
        <v>19</v>
      </c>
      <c r="K123" s="61">
        <v>42961</v>
      </c>
      <c r="L123" s="94">
        <f t="shared" si="7"/>
        <v>58</v>
      </c>
      <c r="M123" s="121">
        <v>43000</v>
      </c>
      <c r="N123" s="182" t="s">
        <v>1902</v>
      </c>
      <c r="O123" s="121"/>
      <c r="P123" s="122"/>
      <c r="Q123" s="123"/>
      <c r="R123" s="123"/>
      <c r="S123" s="122"/>
      <c r="T123" s="123"/>
      <c r="U123" s="123"/>
      <c r="V123" s="123"/>
      <c r="W123" s="123"/>
      <c r="X123" s="123"/>
      <c r="Y123" s="123"/>
      <c r="Z123" s="123"/>
      <c r="AA123" s="123"/>
      <c r="AB123" s="123"/>
      <c r="AC123" s="123"/>
      <c r="AD123" s="123"/>
      <c r="AE123" s="124"/>
      <c r="AF123" s="124"/>
      <c r="AG123" s="124"/>
      <c r="AH123" s="124"/>
      <c r="AI123" s="124"/>
      <c r="AJ123" s="124"/>
      <c r="AK123" s="124"/>
      <c r="AL123" s="124"/>
      <c r="AM123" s="124"/>
      <c r="AN123" s="124"/>
      <c r="AO123" s="124">
        <v>9</v>
      </c>
      <c r="AP123" s="124">
        <f>8+50+4</f>
        <v>62</v>
      </c>
      <c r="AQ123" s="124">
        <v>18</v>
      </c>
      <c r="AR123" s="124">
        <v>5</v>
      </c>
      <c r="AS123" s="124"/>
      <c r="AT123" s="124"/>
      <c r="AU123" s="124"/>
      <c r="AV123" s="124"/>
      <c r="AW123" s="121"/>
      <c r="AX123" s="124"/>
      <c r="AY123" s="124"/>
      <c r="AZ123" s="124"/>
      <c r="BA123" s="124"/>
      <c r="BB123" s="94"/>
      <c r="BC123" s="95">
        <v>43024</v>
      </c>
      <c r="BD123" s="94">
        <f t="shared" si="6"/>
        <v>24</v>
      </c>
      <c r="BE123" s="49">
        <f>SUM(Table11[[#This Row],[S13]:[S52]])</f>
        <v>94</v>
      </c>
      <c r="BF123" s="94">
        <v>1</v>
      </c>
      <c r="BG123" s="94">
        <v>15</v>
      </c>
      <c r="BH123" s="94">
        <f>Table11[[#This Row],[Quantité récolté]]*Table11[[#This Row],[Prix de vente Moy.]]/Table11[[#This Row],[Surface cultivée (m²)]]</f>
        <v>6.2666666666666666</v>
      </c>
      <c r="BI123" s="96"/>
      <c r="BJ123" s="94"/>
      <c r="BK123" s="94"/>
      <c r="BL123" s="91"/>
      <c r="BM123" s="91"/>
      <c r="BN123" s="91"/>
      <c r="BO123" s="91"/>
      <c r="BP123" s="47"/>
      <c r="BQ123" s="47"/>
      <c r="BR123" s="47"/>
      <c r="BS123" s="47"/>
    </row>
    <row r="124" spans="1:71" s="59" customFormat="1" ht="12.75" customHeight="1">
      <c r="A124" s="91" t="s">
        <v>982</v>
      </c>
      <c r="B124" s="59" t="s">
        <v>980</v>
      </c>
      <c r="C124" s="91" t="s">
        <v>714</v>
      </c>
      <c r="D124" s="91"/>
      <c r="E124" s="91"/>
      <c r="F124" s="91"/>
      <c r="G124" s="91"/>
      <c r="H124" s="60">
        <v>200</v>
      </c>
      <c r="I124" s="61">
        <v>42942</v>
      </c>
      <c r="J124" s="49">
        <f>Table11[[#This Row],[Date plantation]]-Table11[[#This Row],[Date semis]]</f>
        <v>19</v>
      </c>
      <c r="K124" s="61">
        <v>42961</v>
      </c>
      <c r="L124" s="94">
        <f t="shared" si="7"/>
        <v>69</v>
      </c>
      <c r="M124" s="121">
        <v>43011</v>
      </c>
      <c r="N124" s="182" t="s">
        <v>1902</v>
      </c>
      <c r="O124" s="121"/>
      <c r="P124" s="122"/>
      <c r="Q124" s="123"/>
      <c r="R124" s="123"/>
      <c r="S124" s="122"/>
      <c r="T124" s="123"/>
      <c r="U124" s="123"/>
      <c r="V124" s="123"/>
      <c r="W124" s="123"/>
      <c r="X124" s="123"/>
      <c r="Y124" s="123"/>
      <c r="Z124" s="123"/>
      <c r="AA124" s="123"/>
      <c r="AB124" s="123"/>
      <c r="AC124" s="123"/>
      <c r="AD124" s="123"/>
      <c r="AE124" s="124"/>
      <c r="AF124" s="124"/>
      <c r="AG124" s="124"/>
      <c r="AH124" s="124"/>
      <c r="AI124" s="124"/>
      <c r="AJ124" s="124"/>
      <c r="AK124" s="124"/>
      <c r="AL124" s="124"/>
      <c r="AM124" s="124"/>
      <c r="AN124" s="124"/>
      <c r="AO124" s="124"/>
      <c r="AP124" s="124">
        <f>8+6+2</f>
        <v>16</v>
      </c>
      <c r="AQ124" s="124">
        <v>22</v>
      </c>
      <c r="AR124" s="124">
        <v>8</v>
      </c>
      <c r="AS124" s="124">
        <v>2</v>
      </c>
      <c r="AT124" s="124"/>
      <c r="AU124" s="124"/>
      <c r="AV124" s="124"/>
      <c r="AW124" s="121"/>
      <c r="AX124" s="124"/>
      <c r="AY124" s="124"/>
      <c r="AZ124" s="124"/>
      <c r="BA124" s="124"/>
      <c r="BB124" s="94"/>
      <c r="BC124" s="95">
        <v>43031</v>
      </c>
      <c r="BD124" s="94">
        <f t="shared" si="6"/>
        <v>20</v>
      </c>
      <c r="BE124" s="49">
        <f>SUM(Table11[[#This Row],[S13]:[S52]])</f>
        <v>48</v>
      </c>
      <c r="BF124" s="94">
        <v>1</v>
      </c>
      <c r="BG124" s="94">
        <v>7</v>
      </c>
      <c r="BH124" s="94">
        <f>Table11[[#This Row],[Quantité récolté]]*Table11[[#This Row],[Prix de vente Moy.]]/Table11[[#This Row],[Surface cultivée (m²)]]</f>
        <v>6.8571428571428568</v>
      </c>
      <c r="BI124" s="96"/>
      <c r="BJ124" s="94"/>
      <c r="BK124" s="94"/>
      <c r="BL124" s="91"/>
      <c r="BM124" s="91"/>
      <c r="BN124" s="91"/>
      <c r="BO124" s="91"/>
      <c r="BP124" s="47"/>
      <c r="BQ124" s="47"/>
      <c r="BR124" s="47"/>
      <c r="BS124" s="47"/>
    </row>
    <row r="125" spans="1:71" s="59" customFormat="1" ht="12.75" customHeight="1">
      <c r="A125" s="47" t="s">
        <v>952</v>
      </c>
      <c r="B125" s="59" t="s">
        <v>932</v>
      </c>
      <c r="C125" s="47" t="s">
        <v>898</v>
      </c>
      <c r="D125" s="47"/>
      <c r="E125" s="47"/>
      <c r="F125" s="47"/>
      <c r="G125" s="47"/>
      <c r="H125" s="60">
        <v>1600</v>
      </c>
      <c r="I125" s="61">
        <v>42950</v>
      </c>
      <c r="J125" s="49">
        <f>Table11[[#This Row],[Date plantation]]-Table11[[#This Row],[Date semis]]</f>
        <v>17</v>
      </c>
      <c r="K125" s="61">
        <v>42967</v>
      </c>
      <c r="L125" s="49">
        <f t="shared" si="7"/>
        <v>39</v>
      </c>
      <c r="M125" s="116">
        <v>42989</v>
      </c>
      <c r="N125" s="116" t="s">
        <v>33</v>
      </c>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v>13</v>
      </c>
      <c r="AN125" s="97">
        <v>3</v>
      </c>
      <c r="AO125" s="97">
        <v>6</v>
      </c>
      <c r="AP125" s="97">
        <v>3</v>
      </c>
      <c r="AQ125" s="97">
        <v>4</v>
      </c>
      <c r="AR125" s="97">
        <v>2</v>
      </c>
      <c r="AS125" s="97">
        <v>3</v>
      </c>
      <c r="AT125" s="97">
        <v>2</v>
      </c>
      <c r="AU125" s="97">
        <v>1</v>
      </c>
      <c r="AV125" s="97">
        <v>1</v>
      </c>
      <c r="AW125" s="97"/>
      <c r="AX125" s="97"/>
      <c r="AY125" s="97"/>
      <c r="AZ125" s="97"/>
      <c r="BA125" s="97"/>
      <c r="BB125" s="47"/>
      <c r="BC125" s="48">
        <v>43052</v>
      </c>
      <c r="BD125" s="49">
        <f t="shared" si="6"/>
        <v>63</v>
      </c>
      <c r="BE125" s="49">
        <f>SUM(Table11[[#This Row],[S13]:[S52]])</f>
        <v>38</v>
      </c>
      <c r="BF125" s="49">
        <v>7.5</v>
      </c>
      <c r="BG125" s="49">
        <v>15</v>
      </c>
      <c r="BH125" s="49">
        <f>Table11[[#This Row],[Quantité récolté]]*Table11[[#This Row],[Prix de vente Moy.]]/Table11[[#This Row],[Surface cultivée (m²)]]</f>
        <v>19</v>
      </c>
      <c r="BI125" s="51"/>
      <c r="BJ125" s="49"/>
      <c r="BK125" s="49"/>
      <c r="BL125" s="47"/>
      <c r="BM125" s="47"/>
      <c r="BN125" s="47"/>
      <c r="BO125" s="47"/>
      <c r="BP125" s="47"/>
      <c r="BQ125" s="47"/>
      <c r="BR125" s="47"/>
      <c r="BS125" s="47"/>
    </row>
    <row r="126" spans="1:71" s="59" customFormat="1" ht="12.75" customHeight="1">
      <c r="A126" s="84"/>
      <c r="B126" s="85" t="s">
        <v>654</v>
      </c>
      <c r="C126" s="84" t="s">
        <v>935</v>
      </c>
      <c r="D126" s="47"/>
      <c r="E126" s="47"/>
      <c r="F126" s="47"/>
      <c r="G126" s="47"/>
      <c r="H126" s="60">
        <v>200</v>
      </c>
      <c r="I126" s="61">
        <v>42952</v>
      </c>
      <c r="J126" s="49">
        <f>Table11[[#This Row],[Date plantation]]-Table11[[#This Row],[Date semis]]</f>
        <v>-42952</v>
      </c>
      <c r="K126" s="61"/>
      <c r="L126" s="49">
        <f t="shared" si="7"/>
        <v>-42952</v>
      </c>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47"/>
      <c r="BC126" s="48"/>
      <c r="BD126" s="49">
        <f t="shared" si="6"/>
        <v>0</v>
      </c>
      <c r="BE126" s="49">
        <f>SUM(Table11[[#This Row],[S13]:[S52]])</f>
        <v>0</v>
      </c>
      <c r="BF126" s="49"/>
      <c r="BG126" s="49"/>
      <c r="BH126" s="49" t="e">
        <f>Table11[[#This Row],[Quantité récolté]]*Table11[[#This Row],[Prix de vente Moy.]]/Table11[[#This Row],[Surface cultivée (m²)]]</f>
        <v>#DIV/0!</v>
      </c>
      <c r="BI126" s="51"/>
      <c r="BJ126" s="49"/>
      <c r="BK126" s="49"/>
      <c r="BL126" s="47"/>
      <c r="BM126" s="47"/>
      <c r="BN126" s="47"/>
      <c r="BO126" s="47"/>
      <c r="BP126" s="47"/>
      <c r="BQ126" s="47"/>
      <c r="BR126" s="47"/>
      <c r="BS126" s="47"/>
    </row>
    <row r="127" spans="1:71" s="59" customFormat="1" ht="12.75" customHeight="1">
      <c r="A127" s="47" t="s">
        <v>956</v>
      </c>
      <c r="B127" s="59" t="s">
        <v>944</v>
      </c>
      <c r="C127" s="47" t="s">
        <v>898</v>
      </c>
      <c r="D127" s="47"/>
      <c r="E127" s="47"/>
      <c r="F127" s="47"/>
      <c r="G127" s="47"/>
      <c r="H127" s="60">
        <v>1300</v>
      </c>
      <c r="I127" s="61">
        <v>42955</v>
      </c>
      <c r="J127" s="49">
        <f>Table11[[#This Row],[Date plantation]]-Table11[[#This Row],[Date semis]]</f>
        <v>15</v>
      </c>
      <c r="K127" s="61">
        <v>42970</v>
      </c>
      <c r="L127" s="49">
        <f t="shared" si="7"/>
        <v>45</v>
      </c>
      <c r="M127" s="116">
        <v>43000</v>
      </c>
      <c r="N127" s="116" t="s">
        <v>33</v>
      </c>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v>2</v>
      </c>
      <c r="AO127" s="97">
        <v>8</v>
      </c>
      <c r="AP127" s="97">
        <v>5</v>
      </c>
      <c r="AQ127" s="97">
        <v>5</v>
      </c>
      <c r="AR127" s="97">
        <v>3</v>
      </c>
      <c r="AS127" s="97"/>
      <c r="AT127" s="97">
        <v>2</v>
      </c>
      <c r="AU127" s="97"/>
      <c r="AV127" s="97">
        <v>1</v>
      </c>
      <c r="AW127" s="97"/>
      <c r="AX127" s="97"/>
      <c r="AY127" s="97"/>
      <c r="AZ127" s="97"/>
      <c r="BA127" s="97"/>
      <c r="BB127" s="47"/>
      <c r="BC127" s="48">
        <v>43052</v>
      </c>
      <c r="BD127" s="49">
        <f t="shared" si="6"/>
        <v>52</v>
      </c>
      <c r="BE127" s="49">
        <f>SUM(Table11[[#This Row],[S13]:[S52]])</f>
        <v>26</v>
      </c>
      <c r="BF127" s="49">
        <v>7.5</v>
      </c>
      <c r="BG127" s="49">
        <v>15</v>
      </c>
      <c r="BH127" s="49">
        <f>Table11[[#This Row],[Quantité récolté]]*Table11[[#This Row],[Prix de vente Moy.]]/Table11[[#This Row],[Surface cultivée (m²)]]</f>
        <v>13</v>
      </c>
      <c r="BI127" s="51"/>
      <c r="BJ127" s="49"/>
      <c r="BK127" s="49"/>
      <c r="BL127" s="47"/>
      <c r="BM127" s="47"/>
      <c r="BN127" s="47"/>
      <c r="BO127" s="47"/>
      <c r="BP127" s="47"/>
      <c r="BQ127" s="47"/>
      <c r="BR127" s="47"/>
      <c r="BS127" s="47"/>
    </row>
    <row r="128" spans="1:71" s="59" customFormat="1" ht="12.75" customHeight="1">
      <c r="A128" s="47" t="s">
        <v>834</v>
      </c>
      <c r="B128" s="59" t="s">
        <v>934</v>
      </c>
      <c r="C128" s="47" t="s">
        <v>719</v>
      </c>
      <c r="D128" s="47"/>
      <c r="E128" s="47"/>
      <c r="F128" s="47"/>
      <c r="G128" s="47"/>
      <c r="H128" s="60">
        <v>1700</v>
      </c>
      <c r="I128" s="61">
        <v>42955</v>
      </c>
      <c r="J128" s="49">
        <f>Table11[[#This Row],[Date plantation]]-Table11[[#This Row],[Date semis]]</f>
        <v>22</v>
      </c>
      <c r="K128" s="61">
        <v>42977</v>
      </c>
      <c r="L128" s="49">
        <f t="shared" si="7"/>
        <v>70</v>
      </c>
      <c r="M128" s="116">
        <v>43025</v>
      </c>
      <c r="N128" s="116" t="s">
        <v>33</v>
      </c>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v>3</v>
      </c>
      <c r="AS128" s="97">
        <v>5</v>
      </c>
      <c r="AT128" s="97">
        <v>4</v>
      </c>
      <c r="AU128" s="97">
        <v>1</v>
      </c>
      <c r="AV128" s="97"/>
      <c r="AW128" s="97"/>
      <c r="AX128" s="97"/>
      <c r="AY128" s="97"/>
      <c r="AZ128" s="97"/>
      <c r="BA128" s="97"/>
      <c r="BB128" s="47"/>
      <c r="BC128" s="48">
        <v>43045</v>
      </c>
      <c r="BD128" s="49">
        <f t="shared" si="6"/>
        <v>20</v>
      </c>
      <c r="BE128" s="49">
        <f>SUM(Table11[[#This Row],[S13]:[S52]])</f>
        <v>13</v>
      </c>
      <c r="BF128" s="49">
        <v>11</v>
      </c>
      <c r="BG128" s="49">
        <v>11</v>
      </c>
      <c r="BH128" s="49">
        <f>Table11[[#This Row],[Quantité récolté]]*Table11[[#This Row],[Prix de vente Moy.]]/Table11[[#This Row],[Surface cultivée (m²)]]</f>
        <v>13</v>
      </c>
      <c r="BI128" s="51"/>
      <c r="BJ128" s="49"/>
      <c r="BK128" s="49"/>
      <c r="BL128" s="47"/>
      <c r="BM128" s="47"/>
      <c r="BN128" s="47"/>
      <c r="BO128" s="47"/>
      <c r="BP128" s="47"/>
      <c r="BQ128" s="47"/>
      <c r="BR128" s="47"/>
      <c r="BS128" s="47"/>
    </row>
    <row r="129" spans="1:71" s="59" customFormat="1" ht="12.75" customHeight="1">
      <c r="A129" s="84" t="s">
        <v>962</v>
      </c>
      <c r="B129" s="85" t="s">
        <v>689</v>
      </c>
      <c r="C129" s="84" t="s">
        <v>965</v>
      </c>
      <c r="D129" s="47"/>
      <c r="E129" s="47"/>
      <c r="F129" s="47"/>
      <c r="G129" s="47"/>
      <c r="H129" s="60">
        <v>1000</v>
      </c>
      <c r="I129" s="61">
        <v>42955</v>
      </c>
      <c r="J129" s="49">
        <f>Table11[[#This Row],[Date plantation]]-Table11[[#This Row],[Date semis]]</f>
        <v>22</v>
      </c>
      <c r="K129" s="61">
        <v>42977</v>
      </c>
      <c r="L129" s="49">
        <f t="shared" si="7"/>
        <v>-42955</v>
      </c>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47"/>
      <c r="BC129" s="48"/>
      <c r="BD129" s="49">
        <f t="shared" si="6"/>
        <v>0</v>
      </c>
      <c r="BE129" s="49">
        <f>SUM(Table11[[#This Row],[S13]:[S52]])</f>
        <v>0</v>
      </c>
      <c r="BF129" s="49"/>
      <c r="BG129" s="49"/>
      <c r="BH129" s="49" t="e">
        <f>Table11[[#This Row],[Quantité récolté]]*Table11[[#This Row],[Prix de vente Moy.]]/Table11[[#This Row],[Surface cultivée (m²)]]</f>
        <v>#DIV/0!</v>
      </c>
      <c r="BI129" s="51"/>
      <c r="BJ129" s="49"/>
      <c r="BK129" s="49"/>
      <c r="BL129" s="47"/>
      <c r="BM129" s="47"/>
      <c r="BN129" s="47"/>
      <c r="BO129" s="47"/>
      <c r="BP129" s="47"/>
      <c r="BQ129" s="47"/>
      <c r="BR129" s="47"/>
      <c r="BS129" s="47"/>
    </row>
    <row r="130" spans="1:71" s="59" customFormat="1" ht="12.75" customHeight="1">
      <c r="A130" s="91" t="s">
        <v>957</v>
      </c>
      <c r="B130" s="92" t="s">
        <v>665</v>
      </c>
      <c r="C130" s="91" t="s">
        <v>941</v>
      </c>
      <c r="D130" s="91"/>
      <c r="E130" s="91"/>
      <c r="F130" s="91"/>
      <c r="G130" s="91"/>
      <c r="H130" s="60">
        <v>500</v>
      </c>
      <c r="I130" s="93">
        <v>42956</v>
      </c>
      <c r="J130" s="49">
        <f>Table11[[#This Row],[Date plantation]]-Table11[[#This Row],[Date semis]]</f>
        <v>19</v>
      </c>
      <c r="K130" s="61">
        <v>42975</v>
      </c>
      <c r="L130" s="49">
        <f t="shared" si="7"/>
        <v>69</v>
      </c>
      <c r="M130" s="116">
        <v>43025</v>
      </c>
      <c r="N130" s="116" t="s">
        <v>32</v>
      </c>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v>6</v>
      </c>
      <c r="AS130" s="97">
        <v>9</v>
      </c>
      <c r="AT130" s="97">
        <v>9</v>
      </c>
      <c r="AU130" s="97">
        <v>5</v>
      </c>
      <c r="AV130" s="97">
        <v>13</v>
      </c>
      <c r="AW130" s="97"/>
      <c r="AX130" s="97"/>
      <c r="AY130" s="97"/>
      <c r="AZ130" s="97"/>
      <c r="BA130" s="97"/>
      <c r="BB130" s="47"/>
      <c r="BC130" s="48">
        <v>43056</v>
      </c>
      <c r="BD130" s="49">
        <f t="shared" ref="BD130:BD150" si="8">BC130-M130</f>
        <v>31</v>
      </c>
      <c r="BE130" s="49">
        <f>SUM(Table11[[#This Row],[S13]:[S52]])</f>
        <v>42</v>
      </c>
      <c r="BF130" s="49">
        <v>1.9</v>
      </c>
      <c r="BG130" s="49">
        <v>7</v>
      </c>
      <c r="BH130" s="49">
        <f>Table11[[#This Row],[Quantité récolté]]*Table11[[#This Row],[Prix de vente Moy.]]/Table11[[#This Row],[Surface cultivée (m²)]]</f>
        <v>11.4</v>
      </c>
      <c r="BI130" s="51"/>
      <c r="BJ130" s="49"/>
      <c r="BK130" s="49"/>
      <c r="BL130" s="47"/>
      <c r="BM130" s="47"/>
      <c r="BN130" s="47"/>
      <c r="BO130" s="47"/>
      <c r="BP130" s="47"/>
      <c r="BQ130" s="47"/>
      <c r="BR130" s="47"/>
      <c r="BS130" s="47"/>
    </row>
    <row r="131" spans="1:71" s="59" customFormat="1" ht="12.75" customHeight="1">
      <c r="A131" s="91" t="s">
        <v>823</v>
      </c>
      <c r="B131" s="92" t="s">
        <v>692</v>
      </c>
      <c r="C131" s="91" t="s">
        <v>940</v>
      </c>
      <c r="D131" s="91"/>
      <c r="E131" s="91"/>
      <c r="F131" s="91"/>
      <c r="G131" s="91"/>
      <c r="H131" s="60">
        <v>500</v>
      </c>
      <c r="I131" s="93">
        <v>42956</v>
      </c>
      <c r="J131" s="49">
        <f>Table11[[#This Row],[Date plantation]]-Table11[[#This Row],[Date semis]]</f>
        <v>19</v>
      </c>
      <c r="K131" s="61">
        <v>42975</v>
      </c>
      <c r="L131" s="49">
        <f t="shared" ref="L131:L150" si="9">M131-I131</f>
        <v>100</v>
      </c>
      <c r="M131" s="116">
        <v>43056</v>
      </c>
      <c r="N131" s="116" t="s">
        <v>33</v>
      </c>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v>6</v>
      </c>
      <c r="AW131" s="97">
        <v>0</v>
      </c>
      <c r="AX131" s="97">
        <v>1</v>
      </c>
      <c r="AY131" s="97"/>
      <c r="AZ131" s="97"/>
      <c r="BA131" s="97"/>
      <c r="BB131" s="47"/>
      <c r="BC131" s="48">
        <v>43088</v>
      </c>
      <c r="BD131" s="49">
        <f t="shared" si="8"/>
        <v>32</v>
      </c>
      <c r="BE131" s="49">
        <f>SUM(Table11[[#This Row],[S13]:[S52]])</f>
        <v>7</v>
      </c>
      <c r="BF131" s="49">
        <v>2.5</v>
      </c>
      <c r="BG131" s="49">
        <v>6</v>
      </c>
      <c r="BH131" s="49">
        <f>Table11[[#This Row],[Quantité récolté]]*Table11[[#This Row],[Prix de vente Moy.]]/Table11[[#This Row],[Surface cultivée (m²)]]</f>
        <v>2.9166666666666665</v>
      </c>
      <c r="BI131" s="51"/>
      <c r="BJ131" s="49"/>
      <c r="BK131" s="49"/>
      <c r="BL131" s="47"/>
      <c r="BM131" s="47"/>
      <c r="BN131" s="47"/>
      <c r="BO131" s="47"/>
      <c r="BP131" s="47"/>
      <c r="BQ131" s="47"/>
      <c r="BR131" s="47"/>
      <c r="BS131" s="47"/>
    </row>
    <row r="132" spans="1:71" s="59" customFormat="1" ht="12.75" customHeight="1">
      <c r="A132" s="91" t="s">
        <v>958</v>
      </c>
      <c r="B132" s="92" t="s">
        <v>939</v>
      </c>
      <c r="C132" s="91" t="s">
        <v>942</v>
      </c>
      <c r="D132" s="91"/>
      <c r="E132" s="91"/>
      <c r="F132" s="91"/>
      <c r="G132" s="91"/>
      <c r="H132" s="60">
        <v>500</v>
      </c>
      <c r="I132" s="93">
        <v>42956</v>
      </c>
      <c r="J132" s="49">
        <f>Table11[[#This Row],[Date plantation]]-Table11[[#This Row],[Date semis]]</f>
        <v>19</v>
      </c>
      <c r="K132" s="61">
        <v>42975</v>
      </c>
      <c r="L132" s="49">
        <f t="shared" si="9"/>
        <v>79</v>
      </c>
      <c r="M132" s="116">
        <v>43035</v>
      </c>
      <c r="N132" s="116" t="s">
        <v>32</v>
      </c>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v>14</v>
      </c>
      <c r="AT132" s="97">
        <v>7</v>
      </c>
      <c r="AU132" s="97"/>
      <c r="AV132" s="97">
        <v>22</v>
      </c>
      <c r="AW132" s="97">
        <v>8</v>
      </c>
      <c r="AX132" s="97"/>
      <c r="AY132" s="97"/>
      <c r="AZ132" s="97"/>
      <c r="BA132" s="97"/>
      <c r="BB132" s="47"/>
      <c r="BC132" s="48">
        <v>43088</v>
      </c>
      <c r="BD132" s="49">
        <f t="shared" si="8"/>
        <v>53</v>
      </c>
      <c r="BE132" s="49">
        <f>SUM(Table11[[#This Row],[S13]:[S52]])</f>
        <v>51</v>
      </c>
      <c r="BF132" s="49">
        <v>1.5</v>
      </c>
      <c r="BG132" s="49">
        <v>5</v>
      </c>
      <c r="BH132" s="49">
        <f>Table11[[#This Row],[Quantité récolté]]*Table11[[#This Row],[Prix de vente Moy.]]/Table11[[#This Row],[Surface cultivée (m²)]]</f>
        <v>15.3</v>
      </c>
      <c r="BI132" s="51"/>
      <c r="BJ132" s="49"/>
      <c r="BK132" s="49"/>
      <c r="BL132" s="47"/>
      <c r="BM132" s="47"/>
      <c r="BN132" s="47"/>
      <c r="BO132" s="47"/>
      <c r="BP132" s="47"/>
      <c r="BQ132" s="47"/>
      <c r="BR132" s="47"/>
      <c r="BS132" s="47"/>
    </row>
    <row r="133" spans="1:71" s="59" customFormat="1" ht="12.75" customHeight="1">
      <c r="A133" s="91" t="s">
        <v>943</v>
      </c>
      <c r="B133" s="92" t="s">
        <v>663</v>
      </c>
      <c r="C133" s="91" t="s">
        <v>726</v>
      </c>
      <c r="D133" s="91"/>
      <c r="E133" s="91"/>
      <c r="F133" s="91"/>
      <c r="G133" s="91"/>
      <c r="H133" s="60"/>
      <c r="I133" s="93">
        <v>42957</v>
      </c>
      <c r="J133" s="49">
        <f>Table11[[#This Row],[Date plantation]]-Table11[[#This Row],[Date semis]]</f>
        <v>0</v>
      </c>
      <c r="K133" s="61">
        <v>42957</v>
      </c>
      <c r="L133" s="49">
        <f t="shared" si="9"/>
        <v>64</v>
      </c>
      <c r="M133" s="116">
        <v>43021</v>
      </c>
      <c r="N133" s="116" t="s">
        <v>32</v>
      </c>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v>4</v>
      </c>
      <c r="AR133" s="97"/>
      <c r="AS133" s="97">
        <v>13</v>
      </c>
      <c r="AT133" s="97">
        <v>6</v>
      </c>
      <c r="AU133" s="97">
        <v>8</v>
      </c>
      <c r="AV133" s="97">
        <v>6</v>
      </c>
      <c r="AW133" s="97">
        <v>17</v>
      </c>
      <c r="AX133" s="97">
        <v>6</v>
      </c>
      <c r="AY133" s="97"/>
      <c r="AZ133" s="97"/>
      <c r="BA133" s="97"/>
      <c r="BB133" s="47"/>
      <c r="BC133" s="48">
        <v>43088</v>
      </c>
      <c r="BD133" s="49">
        <f t="shared" si="8"/>
        <v>67</v>
      </c>
      <c r="BE133" s="49">
        <f>SUM(Table11[[#This Row],[S13]:[S52]])</f>
        <v>60</v>
      </c>
      <c r="BF133" s="49">
        <v>2.2000000000000002</v>
      </c>
      <c r="BG133" s="49">
        <v>33</v>
      </c>
      <c r="BH133" s="49">
        <f>Table11[[#This Row],[Quantité récolté]]*Table11[[#This Row],[Prix de vente Moy.]]/Table11[[#This Row],[Surface cultivée (m²)]]</f>
        <v>4</v>
      </c>
      <c r="BI133" s="51"/>
      <c r="BJ133" s="49"/>
      <c r="BK133" s="49"/>
      <c r="BL133" s="47"/>
      <c r="BM133" s="47"/>
      <c r="BN133" s="47"/>
      <c r="BO133" s="47"/>
      <c r="BP133" s="47"/>
      <c r="BQ133" s="47"/>
      <c r="BR133" s="47"/>
      <c r="BS133" s="47"/>
    </row>
    <row r="134" spans="1:71" s="59" customFormat="1" ht="12.75" customHeight="1">
      <c r="A134" s="47" t="s">
        <v>840</v>
      </c>
      <c r="B134" s="59" t="s">
        <v>684</v>
      </c>
      <c r="C134" s="47" t="s">
        <v>938</v>
      </c>
      <c r="D134" s="47"/>
      <c r="E134" s="47"/>
      <c r="F134" s="47"/>
      <c r="G134" s="47"/>
      <c r="H134" s="60"/>
      <c r="I134" s="61">
        <v>42957</v>
      </c>
      <c r="J134" s="49">
        <f>Table11[[#This Row],[Date plantation]]-Table11[[#This Row],[Date semis]]</f>
        <v>0</v>
      </c>
      <c r="K134" s="61">
        <v>42957</v>
      </c>
      <c r="L134" s="49">
        <f t="shared" si="9"/>
        <v>60</v>
      </c>
      <c r="M134" s="116">
        <v>43017</v>
      </c>
      <c r="N134" s="116" t="s">
        <v>33</v>
      </c>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v>7</v>
      </c>
      <c r="AR134" s="97"/>
      <c r="AS134" s="97">
        <v>5</v>
      </c>
      <c r="AT134" s="97">
        <v>9</v>
      </c>
      <c r="AU134" s="97">
        <v>7</v>
      </c>
      <c r="AV134" s="97">
        <v>13</v>
      </c>
      <c r="AW134" s="97">
        <v>11</v>
      </c>
      <c r="AX134" s="97">
        <v>3</v>
      </c>
      <c r="AY134" s="97"/>
      <c r="AZ134" s="97"/>
      <c r="BA134" s="97"/>
      <c r="BB134" s="47"/>
      <c r="BC134" s="48">
        <v>43088</v>
      </c>
      <c r="BD134" s="49">
        <f t="shared" si="8"/>
        <v>71</v>
      </c>
      <c r="BE134" s="49">
        <f>SUM(Table11[[#This Row],[S13]:[S52]])</f>
        <v>55</v>
      </c>
      <c r="BF134" s="49">
        <v>2.5</v>
      </c>
      <c r="BG134" s="49">
        <v>11</v>
      </c>
      <c r="BH134" s="49">
        <f>Table11[[#This Row],[Quantité récolté]]*Table11[[#This Row],[Prix de vente Moy.]]/Table11[[#This Row],[Surface cultivée (m²)]]</f>
        <v>12.5</v>
      </c>
      <c r="BI134" s="51"/>
      <c r="BJ134" s="49"/>
      <c r="BK134" s="49"/>
      <c r="BL134" s="47"/>
      <c r="BM134" s="47"/>
      <c r="BN134" s="47"/>
      <c r="BO134" s="47"/>
      <c r="BP134" s="47"/>
      <c r="BQ134" s="47"/>
      <c r="BR134" s="47"/>
      <c r="BS134" s="47"/>
    </row>
    <row r="135" spans="1:71" s="59" customFormat="1" ht="12.75" customHeight="1">
      <c r="A135" s="47" t="s">
        <v>970</v>
      </c>
      <c r="B135" s="59" t="s">
        <v>937</v>
      </c>
      <c r="C135" s="47" t="s">
        <v>719</v>
      </c>
      <c r="D135" s="47"/>
      <c r="E135" s="47"/>
      <c r="F135" s="47"/>
      <c r="G135" s="47"/>
      <c r="H135" s="60">
        <v>2600</v>
      </c>
      <c r="I135" s="61">
        <v>42960</v>
      </c>
      <c r="J135" s="49">
        <f>Table11[[#This Row],[Date plantation]]-Table11[[#This Row],[Date semis]]</f>
        <v>0</v>
      </c>
      <c r="K135" s="61">
        <v>42960</v>
      </c>
      <c r="L135" s="49">
        <f t="shared" si="9"/>
        <v>82</v>
      </c>
      <c r="M135" s="116">
        <v>43042</v>
      </c>
      <c r="N135" s="116" t="s">
        <v>33</v>
      </c>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v>1</v>
      </c>
      <c r="AU135" s="97">
        <v>5.5</v>
      </c>
      <c r="AV135" s="97">
        <v>0.5</v>
      </c>
      <c r="AW135" s="97">
        <v>2</v>
      </c>
      <c r="AX135" s="97">
        <v>2</v>
      </c>
      <c r="AY135" s="97"/>
      <c r="AZ135" s="97"/>
      <c r="BA135" s="97"/>
      <c r="BB135" s="47"/>
      <c r="BC135" s="48">
        <v>43088</v>
      </c>
      <c r="BD135" s="49">
        <f t="shared" si="8"/>
        <v>46</v>
      </c>
      <c r="BE135" s="49">
        <f>SUM(Table11[[#This Row],[S13]:[S52]])</f>
        <v>11</v>
      </c>
      <c r="BF135" s="49">
        <v>11</v>
      </c>
      <c r="BG135" s="49">
        <v>22</v>
      </c>
      <c r="BH135" s="49">
        <f>Table11[[#This Row],[Quantité récolté]]*Table11[[#This Row],[Prix de vente Moy.]]/Table11[[#This Row],[Surface cultivée (m²)]]</f>
        <v>5.5</v>
      </c>
      <c r="BI135" s="51"/>
      <c r="BJ135" s="49"/>
      <c r="BK135" s="49"/>
      <c r="BL135" s="47"/>
      <c r="BM135" s="47"/>
      <c r="BN135" s="47"/>
      <c r="BO135" s="47"/>
      <c r="BP135" s="47"/>
      <c r="BQ135" s="47"/>
      <c r="BR135" s="47"/>
      <c r="BS135" s="47"/>
    </row>
    <row r="136" spans="1:71" s="59" customFormat="1" ht="12.75" customHeight="1">
      <c r="A136" s="47" t="s">
        <v>994</v>
      </c>
      <c r="B136" s="59" t="s">
        <v>690</v>
      </c>
      <c r="C136" s="47" t="s">
        <v>938</v>
      </c>
      <c r="D136" s="47"/>
      <c r="E136" s="47"/>
      <c r="F136" s="47"/>
      <c r="G136" s="47"/>
      <c r="H136" s="60">
        <v>1000</v>
      </c>
      <c r="I136" s="61">
        <v>42960</v>
      </c>
      <c r="J136" s="49">
        <f>Table11[[#This Row],[Date plantation]]-Table11[[#This Row],[Date semis]]</f>
        <v>25</v>
      </c>
      <c r="K136" s="61">
        <v>42985</v>
      </c>
      <c r="L136" s="49">
        <f t="shared" si="9"/>
        <v>71</v>
      </c>
      <c r="M136" s="116">
        <v>43031</v>
      </c>
      <c r="N136" s="116" t="s">
        <v>33</v>
      </c>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v>5</v>
      </c>
      <c r="AT136" s="97">
        <v>6</v>
      </c>
      <c r="AU136" s="97">
        <v>2</v>
      </c>
      <c r="AV136" s="97">
        <v>5</v>
      </c>
      <c r="AW136" s="97">
        <v>0</v>
      </c>
      <c r="AX136" s="97">
        <v>5</v>
      </c>
      <c r="AY136" s="97"/>
      <c r="AZ136" s="97"/>
      <c r="BA136" s="97"/>
      <c r="BB136" s="47"/>
      <c r="BC136" s="48">
        <v>43067</v>
      </c>
      <c r="BD136" s="49">
        <f t="shared" si="8"/>
        <v>36</v>
      </c>
      <c r="BE136" s="49">
        <f>SUM(Table11[[#This Row],[S13]:[S52]])</f>
        <v>23</v>
      </c>
      <c r="BF136" s="49">
        <v>3.5</v>
      </c>
      <c r="BG136" s="49">
        <v>33</v>
      </c>
      <c r="BH136" s="49">
        <f>Table11[[#This Row],[Quantité récolté]]*Table11[[#This Row],[Prix de vente Moy.]]/Table11[[#This Row],[Surface cultivée (m²)]]</f>
        <v>2.4393939393939394</v>
      </c>
      <c r="BI136" s="51"/>
      <c r="BJ136" s="49"/>
      <c r="BK136" s="49"/>
      <c r="BL136" s="47"/>
      <c r="BM136" s="47"/>
      <c r="BN136" s="47"/>
      <c r="BO136" s="47"/>
      <c r="BP136" s="47"/>
      <c r="BQ136" s="47"/>
      <c r="BR136" s="47"/>
      <c r="BS136" s="47"/>
    </row>
    <row r="137" spans="1:71" s="59" customFormat="1" ht="12.75" customHeight="1">
      <c r="A137" s="47" t="s">
        <v>948</v>
      </c>
      <c r="B137" s="59" t="s">
        <v>949</v>
      </c>
      <c r="C137" s="47" t="s">
        <v>721</v>
      </c>
      <c r="D137" s="47">
        <v>22</v>
      </c>
      <c r="E137" s="47">
        <v>4</v>
      </c>
      <c r="F137" s="47">
        <v>10</v>
      </c>
      <c r="G137" s="47"/>
      <c r="H137" s="60"/>
      <c r="I137" s="61">
        <v>42961</v>
      </c>
      <c r="J137" s="49">
        <f>Table11[[#This Row],[Date plantation]]-Table11[[#This Row],[Date semis]]</f>
        <v>0</v>
      </c>
      <c r="K137" s="61">
        <v>42961</v>
      </c>
      <c r="L137" s="49">
        <f t="shared" si="9"/>
        <v>64</v>
      </c>
      <c r="M137" s="116">
        <v>43025</v>
      </c>
      <c r="N137" s="116" t="s">
        <v>32</v>
      </c>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v>5</v>
      </c>
      <c r="AS137" s="97">
        <v>13</v>
      </c>
      <c r="AT137" s="97">
        <v>18</v>
      </c>
      <c r="AU137" s="97">
        <v>10</v>
      </c>
      <c r="AV137" s="97">
        <v>17</v>
      </c>
      <c r="AW137" s="97">
        <v>7</v>
      </c>
      <c r="AX137" s="97"/>
      <c r="AY137" s="97"/>
      <c r="AZ137" s="97"/>
      <c r="BA137" s="97"/>
      <c r="BB137" s="47"/>
      <c r="BC137" s="48">
        <v>43063</v>
      </c>
      <c r="BD137" s="49">
        <f t="shared" si="8"/>
        <v>38</v>
      </c>
      <c r="BE137" s="49">
        <f>SUM(Table11[[#This Row],[S13]:[S52]])</f>
        <v>70</v>
      </c>
      <c r="BF137" s="49">
        <v>1.9</v>
      </c>
      <c r="BG137" s="49">
        <v>22</v>
      </c>
      <c r="BH137" s="49">
        <f>Table11[[#This Row],[Quantité récolté]]*Table11[[#This Row],[Prix de vente Moy.]]/Table11[[#This Row],[Surface cultivée (m²)]]</f>
        <v>6.0454545454545459</v>
      </c>
      <c r="BI137" s="51"/>
      <c r="BJ137" s="49"/>
      <c r="BK137" s="49"/>
      <c r="BL137" s="47"/>
      <c r="BM137" s="47"/>
      <c r="BN137" s="47"/>
      <c r="BO137" s="47"/>
      <c r="BP137" s="47"/>
      <c r="BQ137" s="47"/>
      <c r="BR137" s="47"/>
      <c r="BS137" s="47"/>
    </row>
    <row r="138" spans="1:71" s="59" customFormat="1" ht="12.75" customHeight="1">
      <c r="A138" s="47" t="s">
        <v>807</v>
      </c>
      <c r="B138" s="59" t="s">
        <v>680</v>
      </c>
      <c r="C138" s="47"/>
      <c r="D138" s="47">
        <v>11</v>
      </c>
      <c r="E138" s="47">
        <v>4</v>
      </c>
      <c r="F138" s="47">
        <v>10</v>
      </c>
      <c r="G138" s="47"/>
      <c r="H138" s="60"/>
      <c r="I138" s="61">
        <v>42961</v>
      </c>
      <c r="J138" s="49">
        <f>Table11[[#This Row],[Date plantation]]-Table11[[#This Row],[Date semis]]</f>
        <v>0</v>
      </c>
      <c r="K138" s="61">
        <v>42961</v>
      </c>
      <c r="L138" s="49">
        <f t="shared" si="9"/>
        <v>71</v>
      </c>
      <c r="M138" s="116">
        <v>43032</v>
      </c>
      <c r="N138" s="116" t="s">
        <v>32</v>
      </c>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f>4+8</f>
        <v>12</v>
      </c>
      <c r="AT138" s="97">
        <v>2</v>
      </c>
      <c r="AU138" s="97">
        <v>5</v>
      </c>
      <c r="AV138" s="97">
        <v>0</v>
      </c>
      <c r="AW138" s="97">
        <v>9</v>
      </c>
      <c r="AX138" s="97">
        <v>2</v>
      </c>
      <c r="AY138" s="97"/>
      <c r="AZ138" s="97"/>
      <c r="BA138" s="97"/>
      <c r="BB138" s="47"/>
      <c r="BC138" s="48">
        <v>43088</v>
      </c>
      <c r="BD138" s="49">
        <f t="shared" si="8"/>
        <v>56</v>
      </c>
      <c r="BE138" s="49">
        <f>SUM(Table11[[#This Row],[S13]:[S52]])</f>
        <v>30</v>
      </c>
      <c r="BF138" s="49">
        <v>1.5</v>
      </c>
      <c r="BG138" s="49">
        <v>11</v>
      </c>
      <c r="BH138" s="49">
        <f>Table11[[#This Row],[Quantité récolté]]*Table11[[#This Row],[Prix de vente Moy.]]/Table11[[#This Row],[Surface cultivée (m²)]]</f>
        <v>4.0909090909090908</v>
      </c>
      <c r="BI138" s="51"/>
      <c r="BJ138" s="49"/>
      <c r="BK138" s="49"/>
      <c r="BL138" s="47"/>
      <c r="BM138" s="47"/>
      <c r="BN138" s="47"/>
      <c r="BO138" s="47"/>
      <c r="BP138" s="47"/>
      <c r="BQ138" s="47"/>
      <c r="BR138" s="47"/>
      <c r="BS138" s="47"/>
    </row>
    <row r="139" spans="1:71" s="59" customFormat="1" ht="12.75" customHeight="1">
      <c r="A139" s="47" t="s">
        <v>966</v>
      </c>
      <c r="B139" s="59" t="s">
        <v>1000</v>
      </c>
      <c r="C139" s="91" t="s">
        <v>941</v>
      </c>
      <c r="D139" s="91"/>
      <c r="E139" s="91"/>
      <c r="F139" s="91"/>
      <c r="G139" s="91"/>
      <c r="H139" s="60">
        <v>500</v>
      </c>
      <c r="I139" s="61">
        <v>42963</v>
      </c>
      <c r="J139" s="49">
        <f>Table11[[#This Row],[Date plantation]]-Table11[[#This Row],[Date semis]]</f>
        <v>19</v>
      </c>
      <c r="K139" s="61">
        <v>42982</v>
      </c>
      <c r="L139" s="49">
        <f t="shared" si="9"/>
        <v>83</v>
      </c>
      <c r="M139" s="116">
        <v>43046</v>
      </c>
      <c r="N139" s="116" t="s">
        <v>32</v>
      </c>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v>10</v>
      </c>
      <c r="AV139" s="97">
        <v>14</v>
      </c>
      <c r="AW139" s="97">
        <v>3</v>
      </c>
      <c r="AX139" s="97"/>
      <c r="AY139" s="97"/>
      <c r="AZ139" s="97"/>
      <c r="BA139" s="97"/>
      <c r="BB139" s="47"/>
      <c r="BC139" s="48">
        <v>43056</v>
      </c>
      <c r="BD139" s="49">
        <f t="shared" si="8"/>
        <v>10</v>
      </c>
      <c r="BE139" s="49">
        <f>SUM(Table11[[#This Row],[S13]:[S52]])</f>
        <v>27</v>
      </c>
      <c r="BF139" s="49">
        <v>1.9</v>
      </c>
      <c r="BG139" s="49">
        <v>7</v>
      </c>
      <c r="BH139" s="49">
        <f>Table11[[#This Row],[Quantité récolté]]*Table11[[#This Row],[Prix de vente Moy.]]/Table11[[#This Row],[Surface cultivée (m²)]]</f>
        <v>7.3285714285714283</v>
      </c>
      <c r="BI139" s="51"/>
      <c r="BJ139" s="49"/>
      <c r="BK139" s="49"/>
      <c r="BL139" s="47"/>
      <c r="BM139" s="47"/>
      <c r="BN139" s="47"/>
      <c r="BO139" s="47"/>
      <c r="BP139" s="47"/>
      <c r="BQ139" s="47"/>
      <c r="BR139" s="47"/>
      <c r="BS139" s="47"/>
    </row>
    <row r="140" spans="1:71" s="59" customFormat="1" ht="12.75" customHeight="1">
      <c r="A140" s="47" t="s">
        <v>853</v>
      </c>
      <c r="B140" s="59" t="s">
        <v>991</v>
      </c>
      <c r="C140" s="91" t="s">
        <v>942</v>
      </c>
      <c r="D140" s="91"/>
      <c r="E140" s="91"/>
      <c r="F140" s="91"/>
      <c r="G140" s="91"/>
      <c r="H140" s="60">
        <v>500</v>
      </c>
      <c r="I140" s="61">
        <v>42963</v>
      </c>
      <c r="J140" s="49">
        <f>Table11[[#This Row],[Date plantation]]-Table11[[#This Row],[Date semis]]</f>
        <v>19</v>
      </c>
      <c r="K140" s="61">
        <v>42982</v>
      </c>
      <c r="L140" s="49">
        <f t="shared" si="9"/>
        <v>86</v>
      </c>
      <c r="M140" s="116">
        <v>43049</v>
      </c>
      <c r="N140" s="116" t="s">
        <v>32</v>
      </c>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v>13</v>
      </c>
      <c r="AV140" s="97">
        <v>5</v>
      </c>
      <c r="AW140" s="97">
        <v>13</v>
      </c>
      <c r="AX140" s="97">
        <v>3</v>
      </c>
      <c r="AY140" s="97"/>
      <c r="AZ140" s="97"/>
      <c r="BA140" s="97"/>
      <c r="BB140" s="47"/>
      <c r="BC140" s="48">
        <v>43088</v>
      </c>
      <c r="BD140" s="49">
        <f t="shared" si="8"/>
        <v>39</v>
      </c>
      <c r="BE140" s="49">
        <f>SUM(Table11[[#This Row],[S13]:[S52]])</f>
        <v>34</v>
      </c>
      <c r="BF140" s="49">
        <v>1.5</v>
      </c>
      <c r="BG140" s="49">
        <v>8</v>
      </c>
      <c r="BH140" s="49">
        <f>Table11[[#This Row],[Quantité récolté]]*Table11[[#This Row],[Prix de vente Moy.]]/Table11[[#This Row],[Surface cultivée (m²)]]</f>
        <v>6.375</v>
      </c>
      <c r="BI140" s="51"/>
      <c r="BJ140" s="49"/>
      <c r="BK140" s="49"/>
      <c r="BL140" s="47"/>
      <c r="BM140" s="47"/>
      <c r="BN140" s="47"/>
      <c r="BO140" s="47"/>
      <c r="BP140" s="47"/>
      <c r="BQ140" s="47"/>
      <c r="BR140" s="47"/>
      <c r="BS140" s="47"/>
    </row>
    <row r="141" spans="1:71" s="59" customFormat="1" ht="12.75" customHeight="1">
      <c r="A141" s="84" t="s">
        <v>971</v>
      </c>
      <c r="B141" s="85" t="s">
        <v>968</v>
      </c>
      <c r="C141" s="47" t="s">
        <v>950</v>
      </c>
      <c r="D141" s="47"/>
      <c r="E141" s="47"/>
      <c r="F141" s="47"/>
      <c r="G141" s="47"/>
      <c r="H141" s="60">
        <v>1000</v>
      </c>
      <c r="I141" s="61">
        <v>42963</v>
      </c>
      <c r="J141" s="49">
        <f>Table11[[#This Row],[Date plantation]]-Table11[[#This Row],[Date semis]]</f>
        <v>26</v>
      </c>
      <c r="K141" s="61">
        <v>42989</v>
      </c>
      <c r="L141" s="49">
        <f t="shared" si="9"/>
        <v>-42963</v>
      </c>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47"/>
      <c r="BC141" s="48"/>
      <c r="BD141" s="49">
        <f t="shared" si="8"/>
        <v>0</v>
      </c>
      <c r="BE141" s="49">
        <f>SUM(Table11[[#This Row],[S13]:[S52]])</f>
        <v>0</v>
      </c>
      <c r="BF141" s="49"/>
      <c r="BG141" s="49"/>
      <c r="BH141" s="49" t="e">
        <f>Table11[[#This Row],[Quantité récolté]]*Table11[[#This Row],[Prix de vente Moy.]]/Table11[[#This Row],[Surface cultivée (m²)]]</f>
        <v>#DIV/0!</v>
      </c>
      <c r="BI141" s="51"/>
      <c r="BJ141" s="49"/>
      <c r="BK141" s="49"/>
      <c r="BL141" s="47"/>
      <c r="BM141" s="47"/>
      <c r="BN141" s="47"/>
      <c r="BO141" s="47"/>
      <c r="BP141" s="47"/>
      <c r="BQ141" s="47"/>
      <c r="BR141" s="47"/>
      <c r="BS141" s="47"/>
    </row>
    <row r="142" spans="1:71" s="59" customFormat="1" ht="12.75" customHeight="1">
      <c r="A142" s="47" t="s">
        <v>961</v>
      </c>
      <c r="B142" s="59" t="s">
        <v>951</v>
      </c>
      <c r="C142" s="47" t="s">
        <v>898</v>
      </c>
      <c r="D142" s="47"/>
      <c r="E142" s="47"/>
      <c r="F142" s="47"/>
      <c r="G142" s="47"/>
      <c r="H142" s="60">
        <v>1300</v>
      </c>
      <c r="I142" s="61">
        <v>42963</v>
      </c>
      <c r="J142" s="49">
        <f>Table11[[#This Row],[Date plantation]]-Table11[[#This Row],[Date semis]]</f>
        <v>18</v>
      </c>
      <c r="K142" s="61">
        <v>42981</v>
      </c>
      <c r="L142" s="49">
        <f t="shared" si="9"/>
        <v>41</v>
      </c>
      <c r="M142" s="116">
        <v>43004</v>
      </c>
      <c r="N142" s="116" t="s">
        <v>33</v>
      </c>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v>8</v>
      </c>
      <c r="AP142" s="97">
        <v>5</v>
      </c>
      <c r="AQ142" s="97">
        <v>3</v>
      </c>
      <c r="AR142" s="97">
        <v>3</v>
      </c>
      <c r="AS142" s="97">
        <v>5</v>
      </c>
      <c r="AT142" s="97">
        <v>2</v>
      </c>
      <c r="AU142" s="97">
        <v>1</v>
      </c>
      <c r="AV142" s="97"/>
      <c r="AW142" s="97"/>
      <c r="AX142" s="97"/>
      <c r="AY142" s="97"/>
      <c r="AZ142" s="97"/>
      <c r="BA142" s="97"/>
      <c r="BB142" s="47"/>
      <c r="BC142" s="48">
        <v>43045</v>
      </c>
      <c r="BD142" s="49">
        <f t="shared" si="8"/>
        <v>41</v>
      </c>
      <c r="BE142" s="49">
        <f>SUM(Table11[[#This Row],[S13]:[S52]])</f>
        <v>27</v>
      </c>
      <c r="BF142" s="49">
        <v>7.5</v>
      </c>
      <c r="BG142" s="49">
        <v>15</v>
      </c>
      <c r="BH142" s="49">
        <f>Table11[[#This Row],[Quantité récolté]]*Table11[[#This Row],[Prix de vente Moy.]]/Table11[[#This Row],[Surface cultivée (m²)]]</f>
        <v>13.5</v>
      </c>
      <c r="BI142" s="51"/>
      <c r="BJ142" s="49"/>
      <c r="BK142" s="49"/>
      <c r="BL142" s="47"/>
      <c r="BM142" s="47"/>
      <c r="BN142" s="47"/>
      <c r="BO142" s="47"/>
      <c r="BP142" s="47"/>
      <c r="BQ142" s="47"/>
      <c r="BR142" s="47"/>
      <c r="BS142" s="47"/>
    </row>
    <row r="143" spans="1:71" s="59" customFormat="1" ht="12.75" customHeight="1">
      <c r="A143" s="47" t="s">
        <v>967</v>
      </c>
      <c r="B143" s="59" t="s">
        <v>954</v>
      </c>
      <c r="C143" s="47" t="s">
        <v>898</v>
      </c>
      <c r="D143" s="47"/>
      <c r="E143" s="47"/>
      <c r="F143" s="47"/>
      <c r="G143" s="47"/>
      <c r="H143" s="60">
        <v>1300</v>
      </c>
      <c r="I143" s="61">
        <v>42966</v>
      </c>
      <c r="J143" s="49">
        <f>Table11[[#This Row],[Date plantation]]-Table11[[#This Row],[Date semis]]</f>
        <v>18</v>
      </c>
      <c r="K143" s="61">
        <v>42984</v>
      </c>
      <c r="L143" s="49">
        <f t="shared" si="9"/>
        <v>43</v>
      </c>
      <c r="M143" s="116">
        <v>43009</v>
      </c>
      <c r="N143" s="116" t="s">
        <v>33</v>
      </c>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v>3</v>
      </c>
      <c r="AR143" s="97">
        <v>3</v>
      </c>
      <c r="AS143" s="97">
        <v>6</v>
      </c>
      <c r="AT143" s="97">
        <v>2</v>
      </c>
      <c r="AU143" s="97">
        <v>2</v>
      </c>
      <c r="AV143" s="97">
        <v>1</v>
      </c>
      <c r="AW143" s="97">
        <v>2</v>
      </c>
      <c r="AX143" s="97">
        <v>1</v>
      </c>
      <c r="AY143" s="97"/>
      <c r="AZ143" s="97"/>
      <c r="BA143" s="97"/>
      <c r="BB143" s="47"/>
      <c r="BC143" s="48">
        <v>43088</v>
      </c>
      <c r="BD143" s="49">
        <f t="shared" si="8"/>
        <v>79</v>
      </c>
      <c r="BE143" s="49">
        <f>SUM(Table11[[#This Row],[S13]:[S52]])</f>
        <v>20</v>
      </c>
      <c r="BF143" s="49">
        <v>7.5</v>
      </c>
      <c r="BG143" s="49">
        <v>15</v>
      </c>
      <c r="BH143" s="49">
        <f>Table11[[#This Row],[Quantité récolté]]*Table11[[#This Row],[Prix de vente Moy.]]/Table11[[#This Row],[Surface cultivée (m²)]]</f>
        <v>10</v>
      </c>
      <c r="BI143" s="51"/>
      <c r="BJ143" s="49"/>
      <c r="BK143" s="49"/>
      <c r="BL143" s="47"/>
      <c r="BM143" s="47"/>
      <c r="BN143" s="47"/>
      <c r="BO143" s="47"/>
      <c r="BP143" s="47"/>
      <c r="BQ143" s="47"/>
      <c r="BR143" s="47"/>
      <c r="BS143" s="47"/>
    </row>
    <row r="144" spans="1:71" s="59" customFormat="1" ht="12.75" customHeight="1">
      <c r="A144" s="47" t="s">
        <v>984</v>
      </c>
      <c r="B144" s="59" t="s">
        <v>955</v>
      </c>
      <c r="C144" s="47" t="s">
        <v>719</v>
      </c>
      <c r="D144" s="50"/>
      <c r="E144" s="50"/>
      <c r="F144" s="50"/>
      <c r="G144" s="50"/>
      <c r="H144" s="60">
        <v>1000</v>
      </c>
      <c r="I144" s="62">
        <v>42966</v>
      </c>
      <c r="J144" s="49">
        <f>Table11[[#This Row],[Date plantation]]-Table11[[#This Row],[Date semis]]</f>
        <v>33</v>
      </c>
      <c r="K144" s="61">
        <v>42999</v>
      </c>
      <c r="L144" s="53">
        <f t="shared" si="9"/>
        <v>87</v>
      </c>
      <c r="M144" s="116">
        <v>43053</v>
      </c>
      <c r="N144" s="116" t="s">
        <v>33</v>
      </c>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v>2</v>
      </c>
      <c r="AW144" s="97">
        <v>3</v>
      </c>
      <c r="AX144" s="97">
        <v>3</v>
      </c>
      <c r="AY144" s="97"/>
      <c r="AZ144" s="97"/>
      <c r="BA144" s="97"/>
      <c r="BB144" s="47"/>
      <c r="BC144" s="52">
        <v>43088</v>
      </c>
      <c r="BD144" s="53">
        <f t="shared" si="8"/>
        <v>35</v>
      </c>
      <c r="BE144" s="53">
        <f>SUM(Table11[[#This Row],[S13]:[S52]])</f>
        <v>8</v>
      </c>
      <c r="BF144" s="53">
        <v>11</v>
      </c>
      <c r="BG144" s="53">
        <v>16</v>
      </c>
      <c r="BH144" s="53">
        <f>Table11[[#This Row],[Quantité récolté]]*Table11[[#This Row],[Prix de vente Moy.]]/Table11[[#This Row],[Surface cultivée (m²)]]</f>
        <v>5.5</v>
      </c>
      <c r="BI144" s="50"/>
      <c r="BJ144" s="50"/>
      <c r="BK144" s="50"/>
      <c r="BL144" s="50"/>
      <c r="BM144" s="50"/>
      <c r="BN144" s="50"/>
      <c r="BO144" s="50"/>
      <c r="BP144" s="50"/>
    </row>
    <row r="145" spans="1:69" s="59" customFormat="1" ht="12.75" customHeight="1">
      <c r="A145" s="47" t="s">
        <v>972</v>
      </c>
      <c r="B145" s="59" t="s">
        <v>960</v>
      </c>
      <c r="C145" s="47" t="s">
        <v>898</v>
      </c>
      <c r="D145" s="47">
        <v>11</v>
      </c>
      <c r="E145" s="50">
        <v>7</v>
      </c>
      <c r="F145" s="50">
        <v>10</v>
      </c>
      <c r="G145" s="47"/>
      <c r="H145" s="60">
        <v>1600</v>
      </c>
      <c r="I145" s="62">
        <v>42973</v>
      </c>
      <c r="J145" s="49">
        <f>Table11[[#This Row],[Date plantation]]-Table11[[#This Row],[Date semis]]</f>
        <v>16</v>
      </c>
      <c r="K145" s="61">
        <v>42989</v>
      </c>
      <c r="L145" s="53">
        <f t="shared" si="9"/>
        <v>44</v>
      </c>
      <c r="M145" s="116">
        <v>43017</v>
      </c>
      <c r="N145" s="116" t="s">
        <v>33</v>
      </c>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v>3</v>
      </c>
      <c r="AR145" s="97">
        <v>6</v>
      </c>
      <c r="AS145" s="97">
        <v>4</v>
      </c>
      <c r="AT145" s="97">
        <v>3</v>
      </c>
      <c r="AU145" s="97">
        <v>3</v>
      </c>
      <c r="AV145" s="97">
        <v>2</v>
      </c>
      <c r="AW145" s="97">
        <v>2</v>
      </c>
      <c r="AX145" s="97">
        <v>1</v>
      </c>
      <c r="AY145" s="97"/>
      <c r="AZ145" s="97"/>
      <c r="BA145" s="97"/>
      <c r="BB145" s="47"/>
      <c r="BC145" s="52">
        <v>43088</v>
      </c>
      <c r="BD145" s="53">
        <f t="shared" si="8"/>
        <v>71</v>
      </c>
      <c r="BE145" s="53">
        <f>SUM(Table11[[#This Row],[S13]:[S52]])</f>
        <v>24</v>
      </c>
      <c r="BF145" s="53">
        <v>7.5</v>
      </c>
      <c r="BG145" s="53">
        <v>22</v>
      </c>
      <c r="BH145" s="53">
        <f>Table11[[#This Row],[Quantité récolté]]*Table11[[#This Row],[Prix de vente Moy.]]/Table11[[#This Row],[Surface cultivée (m²)]]</f>
        <v>8.1818181818181817</v>
      </c>
      <c r="BI145" s="50"/>
      <c r="BJ145" s="50"/>
      <c r="BK145" s="50"/>
      <c r="BL145" s="50"/>
      <c r="BM145" s="50"/>
      <c r="BN145" s="50"/>
      <c r="BO145" s="50"/>
      <c r="BP145" s="50"/>
    </row>
    <row r="146" spans="1:69" s="59" customFormat="1" ht="12.75" customHeight="1">
      <c r="A146" s="47" t="s">
        <v>992</v>
      </c>
      <c r="B146" s="59" t="s">
        <v>963</v>
      </c>
      <c r="C146" s="47" t="s">
        <v>964</v>
      </c>
      <c r="D146" s="50">
        <v>22</v>
      </c>
      <c r="E146" s="50">
        <v>7</v>
      </c>
      <c r="F146" s="50">
        <v>10</v>
      </c>
      <c r="G146" s="50"/>
      <c r="H146" s="60">
        <v>2200</v>
      </c>
      <c r="I146" s="62">
        <v>42978</v>
      </c>
      <c r="J146" s="49">
        <f>Table11[[#This Row],[Date plantation]]-Table11[[#This Row],[Date semis]]</f>
        <v>18</v>
      </c>
      <c r="K146" s="61">
        <v>42996</v>
      </c>
      <c r="L146" s="53">
        <f t="shared" si="9"/>
        <v>46</v>
      </c>
      <c r="M146" s="116">
        <v>43024</v>
      </c>
      <c r="N146" s="116" t="s">
        <v>33</v>
      </c>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v>4</v>
      </c>
      <c r="AS146" s="97">
        <v>9</v>
      </c>
      <c r="AT146" s="97">
        <v>6</v>
      </c>
      <c r="AU146" s="97">
        <v>4</v>
      </c>
      <c r="AV146" s="97">
        <v>2</v>
      </c>
      <c r="AW146" s="97">
        <v>2</v>
      </c>
      <c r="AX146" s="97">
        <v>1</v>
      </c>
      <c r="AY146" s="97"/>
      <c r="AZ146" s="97"/>
      <c r="BA146" s="97"/>
      <c r="BB146" s="47"/>
      <c r="BC146" s="52">
        <v>43088</v>
      </c>
      <c r="BD146" s="53">
        <f t="shared" si="8"/>
        <v>64</v>
      </c>
      <c r="BE146" s="53">
        <f>SUM(Table11[[#This Row],[S13]:[S52]])</f>
        <v>28</v>
      </c>
      <c r="BF146" s="53">
        <v>7.5</v>
      </c>
      <c r="BG146" s="53">
        <v>22</v>
      </c>
      <c r="BH146" s="53">
        <f>Table11[[#This Row],[Quantité récolté]]*Table11[[#This Row],[Prix de vente Moy.]]/Table11[[#This Row],[Surface cultivée (m²)]]</f>
        <v>9.545454545454545</v>
      </c>
      <c r="BI146" s="50"/>
      <c r="BJ146" s="50"/>
      <c r="BK146" s="50"/>
      <c r="BL146" s="50"/>
      <c r="BM146" s="50"/>
      <c r="BN146" s="50"/>
      <c r="BO146" s="50"/>
      <c r="BP146" s="50"/>
    </row>
    <row r="147" spans="1:69" ht="12.75" customHeight="1">
      <c r="A147" s="47" t="s">
        <v>867</v>
      </c>
      <c r="B147" s="45" t="s">
        <v>969</v>
      </c>
      <c r="C147" s="47" t="s">
        <v>964</v>
      </c>
      <c r="D147" s="50"/>
      <c r="E147" s="50"/>
      <c r="F147" s="50"/>
      <c r="G147" s="42"/>
      <c r="H147" s="60">
        <v>1000</v>
      </c>
      <c r="I147" s="43">
        <v>42988</v>
      </c>
      <c r="J147" s="49">
        <f>Table11[[#This Row],[Date plantation]]-Table11[[#This Row],[Date semis]]</f>
        <v>22</v>
      </c>
      <c r="K147" s="61">
        <v>43010</v>
      </c>
      <c r="L147" s="44">
        <f t="shared" si="9"/>
        <v>64</v>
      </c>
      <c r="M147" s="116">
        <v>43052</v>
      </c>
      <c r="N147" s="116" t="s">
        <v>33</v>
      </c>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v>2</v>
      </c>
      <c r="AW147" s="97">
        <v>1</v>
      </c>
      <c r="AX147" s="97">
        <v>1</v>
      </c>
      <c r="AY147" s="97"/>
      <c r="AZ147" s="97"/>
      <c r="BA147" s="97"/>
      <c r="BB147" s="47"/>
      <c r="BC147" s="46">
        <v>43088</v>
      </c>
      <c r="BD147" s="44">
        <f t="shared" si="8"/>
        <v>36</v>
      </c>
      <c r="BE147" s="44">
        <f>SUM(Table11[[#This Row],[S13]:[S52]])</f>
        <v>4</v>
      </c>
      <c r="BF147" s="44">
        <v>7.5</v>
      </c>
      <c r="BG147" s="44">
        <v>11</v>
      </c>
      <c r="BH147" s="44">
        <f>Table11[[#This Row],[Quantité récolté]]*Table11[[#This Row],[Prix de vente Moy.]]/Table11[[#This Row],[Surface cultivée (m²)]]</f>
        <v>2.7272727272727271</v>
      </c>
      <c r="BI147" s="42"/>
      <c r="BJ147" s="42"/>
      <c r="BK147" s="42"/>
      <c r="BL147" s="42"/>
      <c r="BM147" s="42"/>
      <c r="BN147" s="42"/>
      <c r="BO147" s="42"/>
    </row>
    <row r="148" spans="1:69" ht="12.75" customHeight="1">
      <c r="A148" s="47" t="s">
        <v>977</v>
      </c>
      <c r="B148" s="45" t="s">
        <v>973</v>
      </c>
      <c r="C148" s="47" t="s">
        <v>975</v>
      </c>
      <c r="D148" s="50">
        <v>11</v>
      </c>
      <c r="E148" s="50">
        <v>7</v>
      </c>
      <c r="F148" s="50">
        <v>5</v>
      </c>
      <c r="G148" s="42">
        <v>40</v>
      </c>
      <c r="H148" s="60"/>
      <c r="I148" s="43">
        <v>42992</v>
      </c>
      <c r="J148" s="49">
        <f>Table11[[#This Row],[Date plantation]]-Table11[[#This Row],[Date semis]]</f>
        <v>0</v>
      </c>
      <c r="K148" s="43">
        <v>42992</v>
      </c>
      <c r="L148" s="44">
        <f t="shared" si="9"/>
        <v>36</v>
      </c>
      <c r="M148" s="116">
        <v>43028</v>
      </c>
      <c r="N148" s="116" t="s">
        <v>32</v>
      </c>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v>9</v>
      </c>
      <c r="AS148" s="97">
        <v>14</v>
      </c>
      <c r="AT148" s="97">
        <v>5</v>
      </c>
      <c r="AU148" s="97"/>
      <c r="AV148" s="97">
        <v>5</v>
      </c>
      <c r="AW148" s="97">
        <v>5</v>
      </c>
      <c r="AX148" s="97">
        <v>9</v>
      </c>
      <c r="AY148" s="97"/>
      <c r="AZ148" s="97"/>
      <c r="BA148" s="97"/>
      <c r="BB148" s="47"/>
      <c r="BC148" s="46">
        <v>43070</v>
      </c>
      <c r="BD148" s="44">
        <f t="shared" si="8"/>
        <v>42</v>
      </c>
      <c r="BE148" s="44">
        <f>SUM(Table11[[#This Row],[S13]:[S52]])</f>
        <v>47</v>
      </c>
      <c r="BF148" s="44">
        <v>1.1000000000000001</v>
      </c>
      <c r="BG148" s="44">
        <v>11</v>
      </c>
      <c r="BH148" s="44">
        <f>Table11[[#This Row],[Quantité récolté]]*Table11[[#This Row],[Prix de vente Moy.]]/Table11[[#This Row],[Surface cultivée (m²)]]</f>
        <v>4.7</v>
      </c>
      <c r="BI148" s="42"/>
      <c r="BJ148" s="42"/>
      <c r="BK148" s="42"/>
      <c r="BL148" s="42"/>
      <c r="BM148" s="42"/>
      <c r="BN148" s="42"/>
      <c r="BO148" s="42"/>
    </row>
    <row r="149" spans="1:69" ht="12.75" customHeight="1">
      <c r="A149" s="47" t="s">
        <v>976</v>
      </c>
      <c r="B149" s="45" t="s">
        <v>974</v>
      </c>
      <c r="C149" s="47" t="s">
        <v>774</v>
      </c>
      <c r="D149" s="50">
        <v>11</v>
      </c>
      <c r="E149" s="50">
        <v>9</v>
      </c>
      <c r="F149" s="50">
        <v>5</v>
      </c>
      <c r="G149" s="42">
        <v>60</v>
      </c>
      <c r="H149" s="60"/>
      <c r="I149" s="43">
        <v>42992</v>
      </c>
      <c r="J149" s="49">
        <f>Table11[[#This Row],[Date plantation]]-Table11[[#This Row],[Date semis]]</f>
        <v>0</v>
      </c>
      <c r="K149" s="43">
        <v>42992</v>
      </c>
      <c r="L149" s="44">
        <f t="shared" si="9"/>
        <v>40</v>
      </c>
      <c r="M149" s="116">
        <v>43032</v>
      </c>
      <c r="N149" s="116" t="s">
        <v>32</v>
      </c>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v>11</v>
      </c>
      <c r="AT149" s="97">
        <v>5</v>
      </c>
      <c r="AU149" s="97">
        <v>10</v>
      </c>
      <c r="AV149" s="97">
        <v>5</v>
      </c>
      <c r="AW149" s="97">
        <v>15</v>
      </c>
      <c r="AX149" s="97"/>
      <c r="AY149" s="97"/>
      <c r="AZ149" s="97"/>
      <c r="BA149" s="97"/>
      <c r="BB149" s="47"/>
      <c r="BC149" s="46">
        <v>43063</v>
      </c>
      <c r="BD149" s="44">
        <f t="shared" si="8"/>
        <v>31</v>
      </c>
      <c r="BE149" s="44">
        <f>SUM(Table11[[#This Row],[S13]:[S52]])</f>
        <v>46</v>
      </c>
      <c r="BF149" s="44">
        <v>1.1000000000000001</v>
      </c>
      <c r="BG149" s="44">
        <v>11</v>
      </c>
      <c r="BH149" s="44">
        <f>Table11[[#This Row],[Quantité récolté]]*Table11[[#This Row],[Prix de vente Moy.]]/Table11[[#This Row],[Surface cultivée (m²)]]</f>
        <v>4.6000000000000005</v>
      </c>
      <c r="BI149" s="42"/>
      <c r="BJ149" s="42"/>
      <c r="BK149" s="42"/>
      <c r="BL149" s="42"/>
      <c r="BM149" s="42"/>
      <c r="BN149" s="42"/>
      <c r="BO149" s="42"/>
    </row>
    <row r="150" spans="1:69" ht="12">
      <c r="A150" s="47" t="s">
        <v>925</v>
      </c>
      <c r="B150" s="45" t="s">
        <v>993</v>
      </c>
      <c r="C150" s="47" t="s">
        <v>975</v>
      </c>
      <c r="D150" s="50">
        <v>11</v>
      </c>
      <c r="E150" s="50">
        <v>7</v>
      </c>
      <c r="F150" s="50">
        <v>5</v>
      </c>
      <c r="G150" s="42">
        <v>40</v>
      </c>
      <c r="I150" s="75">
        <v>43006</v>
      </c>
      <c r="J150" s="76">
        <f>Table11[[#This Row],[Date plantation]]-Table11[[#This Row],[Date semis]]</f>
        <v>0</v>
      </c>
      <c r="K150" s="61">
        <v>43006</v>
      </c>
      <c r="L150" s="76">
        <f t="shared" si="9"/>
        <v>29</v>
      </c>
      <c r="M150" s="125">
        <v>43035</v>
      </c>
      <c r="N150" s="182" t="s">
        <v>32</v>
      </c>
      <c r="O150" s="125"/>
      <c r="P150" s="126"/>
      <c r="Q150" s="127"/>
      <c r="R150" s="127"/>
      <c r="S150" s="126"/>
      <c r="T150" s="127"/>
      <c r="U150" s="127"/>
      <c r="V150" s="127"/>
      <c r="W150" s="127"/>
      <c r="X150" s="127"/>
      <c r="Y150" s="127"/>
      <c r="Z150" s="127"/>
      <c r="AA150" s="127"/>
      <c r="AB150" s="127"/>
      <c r="AC150" s="127"/>
      <c r="AD150" s="127"/>
      <c r="AE150" s="128"/>
      <c r="AF150" s="128"/>
      <c r="AG150" s="128"/>
      <c r="AH150" s="128"/>
      <c r="AI150" s="128"/>
      <c r="AJ150" s="128"/>
      <c r="AK150" s="128"/>
      <c r="AL150" s="128"/>
      <c r="AM150" s="128"/>
      <c r="AN150" s="128"/>
      <c r="AO150" s="128"/>
      <c r="AP150" s="128"/>
      <c r="AQ150" s="128"/>
      <c r="AR150" s="128"/>
      <c r="AS150" s="128">
        <v>4</v>
      </c>
      <c r="AT150" s="128">
        <v>20</v>
      </c>
      <c r="AU150" s="128">
        <v>24</v>
      </c>
      <c r="AV150" s="128"/>
      <c r="AW150" s="128">
        <v>9</v>
      </c>
      <c r="AX150" s="128"/>
      <c r="AY150" s="128"/>
      <c r="AZ150" s="128"/>
      <c r="BA150" s="128"/>
      <c r="BB150" s="76"/>
      <c r="BC150" s="77">
        <v>43063</v>
      </c>
      <c r="BD150" s="76">
        <f t="shared" si="8"/>
        <v>28</v>
      </c>
      <c r="BE150" s="76">
        <f>SUM(Table11[[#This Row],[S13]:[S52]])</f>
        <v>57</v>
      </c>
      <c r="BF150" s="44">
        <v>1.1000000000000001</v>
      </c>
      <c r="BG150" s="44">
        <v>11</v>
      </c>
      <c r="BH150" s="76">
        <f>Table11[[#This Row],[Quantité récolté]]*Table11[[#This Row],[Prix de vente Moy.]]/Table11[[#This Row],[Surface cultivée (m²)]]</f>
        <v>5.7</v>
      </c>
      <c r="BI150" s="74"/>
      <c r="BJ150" s="74"/>
      <c r="BK150" s="74"/>
      <c r="BL150" s="74"/>
      <c r="BM150" s="74"/>
      <c r="BN150" s="74"/>
      <c r="BO150" s="74"/>
      <c r="BP150" s="54"/>
      <c r="BQ150" s="54"/>
    </row>
    <row r="151" spans="1:69" ht="12">
      <c r="A151" s="54"/>
      <c r="B151" s="54" t="s">
        <v>471</v>
      </c>
      <c r="C151" s="54"/>
      <c r="D151" s="54"/>
      <c r="E151" s="54"/>
      <c r="F151" s="54"/>
      <c r="G151" s="54"/>
      <c r="H151" s="54">
        <f>SUM(Table11[Qté Plants])</f>
        <v>60200</v>
      </c>
      <c r="I151" s="63"/>
      <c r="J151" s="54"/>
      <c r="K151" s="54"/>
      <c r="L151" s="54"/>
      <c r="AP151" s="129"/>
      <c r="AQ151" s="129"/>
      <c r="AR151" s="129"/>
      <c r="AS151" s="129"/>
      <c r="AT151" s="129"/>
      <c r="AU151" s="129"/>
      <c r="AV151" s="129"/>
      <c r="AW151" s="129"/>
      <c r="AX151" s="129"/>
      <c r="AY151" s="129"/>
      <c r="AZ151" s="129"/>
      <c r="BA151" s="129"/>
      <c r="BB151" s="54"/>
      <c r="BC151" s="25"/>
      <c r="BD151" s="55"/>
      <c r="BE151" s="56"/>
      <c r="BF151" s="56"/>
      <c r="BG151" s="56"/>
      <c r="BH151" s="56"/>
      <c r="BI151" s="54"/>
      <c r="BJ151" s="54"/>
      <c r="BK151" s="54"/>
      <c r="BL151" s="54"/>
      <c r="BM151" s="54"/>
      <c r="BN151" s="54"/>
      <c r="BO151" s="54"/>
    </row>
    <row r="152" spans="1:69">
      <c r="I152" s="64"/>
    </row>
  </sheetData>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dimension ref="A1:Q79"/>
  <sheetViews>
    <sheetView zoomScale="85" zoomScaleNormal="85" workbookViewId="0">
      <selection activeCell="F8" sqref="F8"/>
    </sheetView>
  </sheetViews>
  <sheetFormatPr defaultRowHeight="15"/>
  <cols>
    <col min="1" max="1" width="9.140625" style="23"/>
    <col min="2" max="2" width="10.85546875" style="23" bestFit="1" customWidth="1"/>
    <col min="3" max="3" width="13.28515625" style="23" customWidth="1"/>
    <col min="4" max="4" width="17" style="23" customWidth="1"/>
    <col min="5" max="5" width="54.28515625" customWidth="1"/>
    <col min="6" max="6" width="93.28515625" customWidth="1"/>
    <col min="7" max="7" width="3.7109375" customWidth="1"/>
    <col min="8" max="8" width="13.5703125" customWidth="1"/>
    <col min="9" max="9" width="17" bestFit="1" customWidth="1"/>
    <col min="10" max="10" width="51.85546875" customWidth="1"/>
    <col min="11" max="11" width="87" customWidth="1"/>
    <col min="12" max="12" width="3.7109375" bestFit="1" customWidth="1"/>
    <col min="13" max="13" width="13.5703125" customWidth="1"/>
    <col min="14" max="14" width="17" bestFit="1" customWidth="1"/>
    <col min="15" max="15" width="50.28515625" bestFit="1" customWidth="1"/>
    <col min="16" max="16" width="98.85546875" bestFit="1" customWidth="1"/>
    <col min="17" max="17" width="9.140625" customWidth="1"/>
    <col min="18" max="16384" width="9.140625" style="23"/>
  </cols>
  <sheetData>
    <row r="1" spans="1:17" ht="62.25" customHeight="1" thickBot="1">
      <c r="A1" s="196" t="s">
        <v>487</v>
      </c>
      <c r="B1" s="197"/>
      <c r="C1" s="197"/>
      <c r="D1" s="197"/>
      <c r="E1" s="197"/>
      <c r="F1" s="197"/>
      <c r="G1" s="197"/>
      <c r="H1" s="197"/>
      <c r="I1" s="197"/>
      <c r="J1" s="197"/>
      <c r="K1" s="197"/>
      <c r="L1" s="197"/>
      <c r="M1" s="197"/>
      <c r="N1" s="197"/>
      <c r="O1" s="197"/>
      <c r="P1" s="197"/>
      <c r="Q1" s="198"/>
    </row>
    <row r="2" spans="1:17" ht="26.25" customHeight="1">
      <c r="A2" s="132"/>
      <c r="B2" s="132"/>
      <c r="C2" s="132"/>
      <c r="D2" s="199" t="s">
        <v>480</v>
      </c>
      <c r="E2" s="199"/>
      <c r="F2" s="199"/>
      <c r="G2" s="132"/>
      <c r="H2" s="132"/>
      <c r="I2" s="199" t="s">
        <v>481</v>
      </c>
      <c r="J2" s="199"/>
      <c r="K2" s="199"/>
      <c r="L2" s="132"/>
      <c r="M2" s="132"/>
      <c r="N2" s="199" t="s">
        <v>482</v>
      </c>
      <c r="O2" s="199"/>
      <c r="P2" s="199"/>
      <c r="Q2" s="132"/>
    </row>
    <row r="3" spans="1:17" ht="18.75">
      <c r="A3" s="190">
        <v>1</v>
      </c>
      <c r="B3" s="148"/>
      <c r="C3" s="140"/>
      <c r="D3" s="155"/>
      <c r="E3" s="155"/>
      <c r="F3" s="155"/>
      <c r="G3" s="190">
        <v>1</v>
      </c>
      <c r="H3" s="140"/>
      <c r="I3" s="155"/>
      <c r="J3" s="155" t="s">
        <v>481</v>
      </c>
      <c r="K3" s="155"/>
      <c r="L3" s="190">
        <v>1</v>
      </c>
      <c r="M3" s="140"/>
      <c r="N3" s="155" t="s">
        <v>482</v>
      </c>
      <c r="O3" s="155"/>
      <c r="P3" s="155"/>
      <c r="Q3" s="154"/>
    </row>
    <row r="4" spans="1:17" ht="18.75">
      <c r="A4" s="190"/>
      <c r="B4" s="148"/>
      <c r="C4" s="140"/>
      <c r="D4" s="153" t="s">
        <v>483</v>
      </c>
      <c r="E4" s="153" t="s">
        <v>1149</v>
      </c>
      <c r="F4" s="153" t="s">
        <v>1148</v>
      </c>
      <c r="G4" s="190"/>
      <c r="H4" s="140"/>
      <c r="I4" s="153" t="s">
        <v>1149</v>
      </c>
      <c r="J4" s="153" t="s">
        <v>483</v>
      </c>
      <c r="K4" s="153" t="s">
        <v>1148</v>
      </c>
      <c r="L4" s="190"/>
      <c r="M4" s="140"/>
      <c r="N4" s="153" t="s">
        <v>1149</v>
      </c>
      <c r="O4" s="153" t="s">
        <v>483</v>
      </c>
      <c r="P4" s="153" t="s">
        <v>1148</v>
      </c>
      <c r="Q4" s="152"/>
    </row>
    <row r="5" spans="1:17" ht="15" customHeight="1">
      <c r="A5" s="190"/>
      <c r="B5" s="151"/>
      <c r="C5" s="140"/>
      <c r="D5" s="147">
        <v>41883</v>
      </c>
      <c r="E5" s="138" t="s">
        <v>1046</v>
      </c>
      <c r="F5" s="138" t="s">
        <v>1045</v>
      </c>
      <c r="G5" s="190"/>
      <c r="H5" s="140"/>
      <c r="I5" s="147">
        <v>41883</v>
      </c>
      <c r="J5" s="138" t="s">
        <v>1046</v>
      </c>
      <c r="K5" s="138" t="s">
        <v>1045</v>
      </c>
      <c r="L5" s="190"/>
      <c r="M5" s="140"/>
      <c r="N5" s="147">
        <v>41883</v>
      </c>
      <c r="O5" s="138" t="s">
        <v>1046</v>
      </c>
      <c r="P5" s="138" t="s">
        <v>1045</v>
      </c>
      <c r="Q5" s="132"/>
    </row>
    <row r="6" spans="1:17" ht="45" customHeight="1">
      <c r="A6" s="190"/>
      <c r="B6" s="191" t="s">
        <v>1044</v>
      </c>
      <c r="C6" s="140"/>
      <c r="D6" s="146" t="s">
        <v>1147</v>
      </c>
      <c r="E6" s="143" t="s">
        <v>1042</v>
      </c>
      <c r="F6" s="142"/>
      <c r="G6" s="190"/>
      <c r="H6" s="140"/>
      <c r="I6" s="146" t="s">
        <v>1147</v>
      </c>
      <c r="J6" s="143" t="s">
        <v>1042</v>
      </c>
      <c r="K6" s="142"/>
      <c r="L6" s="190"/>
      <c r="M6" s="140"/>
      <c r="N6" s="146" t="s">
        <v>1147</v>
      </c>
      <c r="O6" s="143" t="s">
        <v>1146</v>
      </c>
      <c r="P6" s="142"/>
      <c r="Q6" s="132"/>
    </row>
    <row r="7" spans="1:17" ht="95.25" customHeight="1">
      <c r="A7" s="190"/>
      <c r="B7" s="191"/>
      <c r="C7" s="140"/>
      <c r="D7" s="145" t="s">
        <v>1145</v>
      </c>
      <c r="E7" s="134" t="s">
        <v>1144</v>
      </c>
      <c r="F7" s="133" t="s">
        <v>1905</v>
      </c>
      <c r="G7" s="190"/>
      <c r="H7" s="140"/>
      <c r="I7" s="145" t="s">
        <v>1145</v>
      </c>
      <c r="J7" s="134" t="s">
        <v>1144</v>
      </c>
      <c r="K7" s="133" t="s">
        <v>1143</v>
      </c>
      <c r="L7" s="190"/>
      <c r="M7" s="140"/>
      <c r="N7" s="145" t="s">
        <v>1145</v>
      </c>
      <c r="O7" s="134" t="s">
        <v>1144</v>
      </c>
      <c r="P7" s="133" t="s">
        <v>1143</v>
      </c>
      <c r="Q7" s="132"/>
    </row>
    <row r="8" spans="1:17" ht="30">
      <c r="A8" s="190"/>
      <c r="B8" s="191" t="s">
        <v>1034</v>
      </c>
      <c r="C8" s="140"/>
      <c r="D8" s="144">
        <v>42309</v>
      </c>
      <c r="E8" s="143" t="s">
        <v>1906</v>
      </c>
      <c r="F8" s="142"/>
      <c r="G8" s="190"/>
      <c r="H8" s="140"/>
      <c r="I8" s="144">
        <v>42309</v>
      </c>
      <c r="J8" s="143" t="s">
        <v>1032</v>
      </c>
      <c r="K8" s="142"/>
      <c r="L8" s="190"/>
      <c r="M8" s="140"/>
      <c r="N8" s="144">
        <v>42309</v>
      </c>
      <c r="O8" s="143" t="s">
        <v>1094</v>
      </c>
      <c r="P8" s="142"/>
      <c r="Q8" s="132"/>
    </row>
    <row r="9" spans="1:17" ht="114.75" customHeight="1">
      <c r="A9" s="190"/>
      <c r="B9" s="191"/>
      <c r="C9" s="140"/>
      <c r="D9" s="135">
        <v>42461</v>
      </c>
      <c r="E9" s="134" t="s">
        <v>1142</v>
      </c>
      <c r="F9" s="133" t="s">
        <v>1141</v>
      </c>
      <c r="G9" s="190"/>
      <c r="H9" s="140"/>
      <c r="I9" s="135">
        <v>42461</v>
      </c>
      <c r="J9" s="134" t="s">
        <v>1140</v>
      </c>
      <c r="K9" s="133" t="s">
        <v>1139</v>
      </c>
      <c r="L9" s="190"/>
      <c r="M9" s="140"/>
      <c r="N9" s="135">
        <v>42491</v>
      </c>
      <c r="O9" s="134" t="s">
        <v>1138</v>
      </c>
      <c r="P9" s="133" t="s">
        <v>1137</v>
      </c>
      <c r="Q9" s="132"/>
    </row>
    <row r="10" spans="1:17" ht="30.75" customHeight="1">
      <c r="A10" s="190"/>
      <c r="B10" s="191" t="s">
        <v>1021</v>
      </c>
      <c r="C10" s="140"/>
      <c r="D10" s="144">
        <v>42675</v>
      </c>
      <c r="E10" s="143" t="s">
        <v>1020</v>
      </c>
      <c r="F10" s="142"/>
      <c r="G10" s="190"/>
      <c r="H10" s="140"/>
      <c r="I10" s="144">
        <v>42675</v>
      </c>
      <c r="J10" s="143" t="s">
        <v>1020</v>
      </c>
      <c r="K10" s="142"/>
      <c r="L10" s="190"/>
      <c r="M10" s="140"/>
      <c r="N10" s="144">
        <v>42675</v>
      </c>
      <c r="O10" s="143" t="s">
        <v>1020</v>
      </c>
      <c r="P10" s="142"/>
      <c r="Q10" s="132"/>
    </row>
    <row r="11" spans="1:17" ht="114" customHeight="1">
      <c r="A11" s="190"/>
      <c r="B11" s="191"/>
      <c r="C11" s="150">
        <v>30</v>
      </c>
      <c r="D11" s="135">
        <v>42856</v>
      </c>
      <c r="E11" s="134" t="s">
        <v>1136</v>
      </c>
      <c r="F11" s="133" t="s">
        <v>1907</v>
      </c>
      <c r="G11" s="190"/>
      <c r="H11" s="136">
        <v>30</v>
      </c>
      <c r="I11" s="135">
        <v>42856</v>
      </c>
      <c r="J11" s="134" t="s">
        <v>1136</v>
      </c>
      <c r="K11" s="133" t="s">
        <v>1135</v>
      </c>
      <c r="L11" s="190"/>
      <c r="M11" s="136">
        <v>30</v>
      </c>
      <c r="N11" s="135">
        <v>42856</v>
      </c>
      <c r="O11" s="134" t="s">
        <v>1136</v>
      </c>
      <c r="P11" s="133" t="s">
        <v>1135</v>
      </c>
      <c r="Q11" s="132"/>
    </row>
    <row r="12" spans="1:17">
      <c r="A12" s="132"/>
      <c r="B12" s="132"/>
      <c r="C12" s="132"/>
      <c r="D12" s="132"/>
      <c r="E12" s="132"/>
      <c r="F12" s="132"/>
      <c r="G12" s="132"/>
      <c r="H12" s="132"/>
      <c r="I12" s="132"/>
      <c r="J12" s="132"/>
      <c r="K12" s="132"/>
      <c r="L12" s="132"/>
      <c r="M12" s="132"/>
      <c r="N12" s="132"/>
      <c r="O12" s="132"/>
      <c r="P12" s="132"/>
      <c r="Q12" s="132"/>
    </row>
    <row r="13" spans="1:17" ht="18.75">
      <c r="A13" s="190">
        <v>2</v>
      </c>
      <c r="B13" s="148"/>
      <c r="C13" s="140"/>
      <c r="D13" s="147">
        <v>41883</v>
      </c>
      <c r="E13" s="138" t="s">
        <v>1046</v>
      </c>
      <c r="F13" s="138" t="s">
        <v>1045</v>
      </c>
      <c r="G13" s="190">
        <v>2</v>
      </c>
      <c r="H13" s="140"/>
      <c r="I13" s="147">
        <v>41883</v>
      </c>
      <c r="J13" s="138" t="s">
        <v>1046</v>
      </c>
      <c r="K13" s="138" t="s">
        <v>1045</v>
      </c>
      <c r="L13" s="190">
        <v>2</v>
      </c>
      <c r="M13" s="140"/>
      <c r="N13" s="147">
        <v>41883</v>
      </c>
      <c r="O13" s="138" t="s">
        <v>1046</v>
      </c>
      <c r="P13" s="138" t="s">
        <v>1045</v>
      </c>
      <c r="Q13" s="132"/>
    </row>
    <row r="14" spans="1:17" ht="15" customHeight="1">
      <c r="A14" s="190"/>
      <c r="B14" s="191" t="s">
        <v>1044</v>
      </c>
      <c r="C14" s="140"/>
      <c r="D14" s="146" t="s">
        <v>1043</v>
      </c>
      <c r="E14" s="143" t="s">
        <v>1042</v>
      </c>
      <c r="F14" s="142"/>
      <c r="G14" s="190"/>
      <c r="H14" s="140"/>
      <c r="I14" s="146" t="s">
        <v>1043</v>
      </c>
      <c r="J14" s="143" t="s">
        <v>1042</v>
      </c>
      <c r="K14" s="142"/>
      <c r="L14" s="190"/>
      <c r="M14" s="140"/>
      <c r="N14" s="146" t="s">
        <v>1043</v>
      </c>
      <c r="O14" s="143" t="s">
        <v>1042</v>
      </c>
      <c r="P14" s="142"/>
      <c r="Q14" s="132"/>
    </row>
    <row r="15" spans="1:17" ht="118.5" customHeight="1">
      <c r="A15" s="190"/>
      <c r="B15" s="191"/>
      <c r="C15" s="140"/>
      <c r="D15" s="145" t="s">
        <v>1037</v>
      </c>
      <c r="E15" s="134" t="s">
        <v>1134</v>
      </c>
      <c r="F15" s="133" t="s">
        <v>1133</v>
      </c>
      <c r="G15" s="190"/>
      <c r="H15" s="140"/>
      <c r="I15" s="145" t="s">
        <v>1037</v>
      </c>
      <c r="J15" s="134" t="s">
        <v>1134</v>
      </c>
      <c r="K15" s="133" t="s">
        <v>1133</v>
      </c>
      <c r="L15" s="190"/>
      <c r="M15" s="140"/>
      <c r="N15" s="145" t="s">
        <v>1037</v>
      </c>
      <c r="O15" s="134" t="s">
        <v>1132</v>
      </c>
      <c r="P15" s="133" t="s">
        <v>1131</v>
      </c>
      <c r="Q15" s="132"/>
    </row>
    <row r="16" spans="1:17" ht="30">
      <c r="A16" s="190"/>
      <c r="B16" s="191" t="s">
        <v>1034</v>
      </c>
      <c r="C16" s="140"/>
      <c r="D16" s="144">
        <v>42309</v>
      </c>
      <c r="E16" s="143" t="s">
        <v>1106</v>
      </c>
      <c r="F16" s="142"/>
      <c r="G16" s="190"/>
      <c r="H16" s="140"/>
      <c r="I16" s="144">
        <v>42309</v>
      </c>
      <c r="J16" s="143" t="s">
        <v>1094</v>
      </c>
      <c r="K16" s="142"/>
      <c r="L16" s="190"/>
      <c r="M16" s="140"/>
      <c r="N16" s="144">
        <v>42309</v>
      </c>
      <c r="O16" s="143" t="s">
        <v>1094</v>
      </c>
      <c r="P16" s="142"/>
      <c r="Q16" s="132"/>
    </row>
    <row r="17" spans="1:17" ht="120" customHeight="1">
      <c r="A17" s="190"/>
      <c r="B17" s="191"/>
      <c r="C17" s="140"/>
      <c r="D17" s="135">
        <v>42491</v>
      </c>
      <c r="E17" s="134" t="s">
        <v>1103</v>
      </c>
      <c r="F17" s="133" t="s">
        <v>1130</v>
      </c>
      <c r="G17" s="190"/>
      <c r="H17" s="140"/>
      <c r="I17" s="135">
        <v>42491</v>
      </c>
      <c r="J17" s="134" t="s">
        <v>1103</v>
      </c>
      <c r="K17" s="133" t="s">
        <v>1130</v>
      </c>
      <c r="L17" s="190"/>
      <c r="M17" s="140"/>
      <c r="N17" s="135">
        <v>42491</v>
      </c>
      <c r="O17" s="134" t="s">
        <v>1103</v>
      </c>
      <c r="P17" s="133" t="s">
        <v>1130</v>
      </c>
      <c r="Q17" s="132"/>
    </row>
    <row r="18" spans="1:17" ht="35.25" customHeight="1">
      <c r="A18" s="190"/>
      <c r="B18" s="191" t="s">
        <v>1021</v>
      </c>
      <c r="C18" s="140"/>
      <c r="D18" s="144">
        <v>42675</v>
      </c>
      <c r="E18" s="143" t="s">
        <v>1020</v>
      </c>
      <c r="F18" s="142"/>
      <c r="G18" s="190"/>
      <c r="H18" s="140"/>
      <c r="I18" s="144">
        <v>42675</v>
      </c>
      <c r="J18" s="143" t="s">
        <v>1020</v>
      </c>
      <c r="K18" s="142"/>
      <c r="L18" s="190"/>
      <c r="M18" s="140"/>
      <c r="N18" s="144">
        <v>42675</v>
      </c>
      <c r="O18" s="143" t="s">
        <v>1020</v>
      </c>
      <c r="P18" s="142"/>
      <c r="Q18" s="132"/>
    </row>
    <row r="19" spans="1:17" ht="110.25" customHeight="1">
      <c r="A19" s="190"/>
      <c r="B19" s="191"/>
      <c r="C19" s="136">
        <v>10</v>
      </c>
      <c r="D19" s="135">
        <v>42826</v>
      </c>
      <c r="E19" s="134" t="s">
        <v>1072</v>
      </c>
      <c r="F19" s="133" t="s">
        <v>1127</v>
      </c>
      <c r="G19" s="190"/>
      <c r="H19" s="136">
        <v>9</v>
      </c>
      <c r="I19" s="135">
        <v>42826</v>
      </c>
      <c r="J19" s="134" t="s">
        <v>1129</v>
      </c>
      <c r="K19" s="133" t="s">
        <v>1127</v>
      </c>
      <c r="L19" s="190"/>
      <c r="M19" s="136">
        <v>8</v>
      </c>
      <c r="N19" s="135">
        <v>42826</v>
      </c>
      <c r="O19" s="134" t="s">
        <v>1128</v>
      </c>
      <c r="P19" s="133" t="s">
        <v>1127</v>
      </c>
      <c r="Q19" s="132"/>
    </row>
    <row r="20" spans="1:17">
      <c r="A20" s="132"/>
      <c r="B20" s="132"/>
      <c r="C20" s="132"/>
      <c r="D20" s="132"/>
      <c r="E20" s="132"/>
      <c r="F20" s="132"/>
      <c r="G20" s="132"/>
      <c r="H20" s="132"/>
      <c r="I20" s="132"/>
      <c r="J20" s="132"/>
      <c r="K20" s="132"/>
      <c r="L20" s="132"/>
      <c r="M20" s="132"/>
      <c r="N20" s="132"/>
      <c r="O20" s="132"/>
      <c r="P20" s="132"/>
      <c r="Q20" s="132"/>
    </row>
    <row r="21" spans="1:17" ht="18.75">
      <c r="A21" s="190">
        <v>3</v>
      </c>
      <c r="B21" s="148"/>
      <c r="C21" s="140"/>
      <c r="D21" s="147">
        <v>41883</v>
      </c>
      <c r="E21" s="138" t="s">
        <v>1046</v>
      </c>
      <c r="F21" s="138" t="s">
        <v>1045</v>
      </c>
      <c r="G21" s="190">
        <v>3</v>
      </c>
      <c r="H21" s="140"/>
      <c r="I21" s="147">
        <v>41883</v>
      </c>
      <c r="J21" s="138" t="s">
        <v>1046</v>
      </c>
      <c r="K21" s="138" t="s">
        <v>1045</v>
      </c>
      <c r="L21" s="190">
        <v>3</v>
      </c>
      <c r="M21" s="140"/>
      <c r="N21" s="147">
        <v>41883</v>
      </c>
      <c r="O21" s="138" t="s">
        <v>1046</v>
      </c>
      <c r="P21" s="138" t="s">
        <v>1045</v>
      </c>
      <c r="Q21" s="132"/>
    </row>
    <row r="22" spans="1:17" ht="15" customHeight="1">
      <c r="A22" s="190"/>
      <c r="B22" s="191" t="s">
        <v>1044</v>
      </c>
      <c r="C22" s="140"/>
      <c r="D22" s="146" t="s">
        <v>1043</v>
      </c>
      <c r="E22" s="143" t="s">
        <v>1042</v>
      </c>
      <c r="F22" s="142"/>
      <c r="G22" s="190"/>
      <c r="H22" s="140"/>
      <c r="I22" s="146" t="s">
        <v>1043</v>
      </c>
      <c r="J22" s="143" t="s">
        <v>1042</v>
      </c>
      <c r="K22" s="142"/>
      <c r="L22" s="190"/>
      <c r="M22" s="140"/>
      <c r="N22" s="146" t="s">
        <v>1043</v>
      </c>
      <c r="O22" s="143" t="s">
        <v>1042</v>
      </c>
      <c r="P22" s="142"/>
      <c r="Q22" s="132"/>
    </row>
    <row r="23" spans="1:17" ht="127.5" customHeight="1">
      <c r="A23" s="190"/>
      <c r="B23" s="191"/>
      <c r="C23" s="140"/>
      <c r="D23" s="145" t="s">
        <v>1109</v>
      </c>
      <c r="E23" s="134" t="s">
        <v>1125</v>
      </c>
      <c r="F23" s="133" t="s">
        <v>1126</v>
      </c>
      <c r="G23" s="190"/>
      <c r="H23" s="140"/>
      <c r="I23" s="145" t="s">
        <v>1109</v>
      </c>
      <c r="J23" s="134" t="s">
        <v>1125</v>
      </c>
      <c r="K23" s="133" t="s">
        <v>1124</v>
      </c>
      <c r="L23" s="190"/>
      <c r="M23" s="140"/>
      <c r="N23" s="145" t="s">
        <v>1109</v>
      </c>
      <c r="O23" s="134" t="s">
        <v>1123</v>
      </c>
      <c r="P23" s="133" t="s">
        <v>1122</v>
      </c>
      <c r="Q23" s="132"/>
    </row>
    <row r="24" spans="1:17" ht="30">
      <c r="A24" s="190"/>
      <c r="B24" s="191" t="s">
        <v>1034</v>
      </c>
      <c r="C24" s="140"/>
      <c r="D24" s="144">
        <v>42309</v>
      </c>
      <c r="E24" s="143" t="s">
        <v>1033</v>
      </c>
      <c r="F24" s="142"/>
      <c r="G24" s="190"/>
      <c r="H24" s="140"/>
      <c r="I24" s="144">
        <v>42309</v>
      </c>
      <c r="J24" s="143" t="s">
        <v>1032</v>
      </c>
      <c r="K24" s="142"/>
      <c r="L24" s="190"/>
      <c r="M24" s="140"/>
      <c r="N24" s="144">
        <v>42309</v>
      </c>
      <c r="O24" s="143" t="s">
        <v>1094</v>
      </c>
      <c r="P24" s="142"/>
      <c r="Q24" s="132"/>
    </row>
    <row r="25" spans="1:17" ht="105" customHeight="1">
      <c r="A25" s="190"/>
      <c r="B25" s="191"/>
      <c r="C25" s="140"/>
      <c r="D25" s="135">
        <v>42461</v>
      </c>
      <c r="E25" s="134" t="s">
        <v>1121</v>
      </c>
      <c r="F25" s="133" t="s">
        <v>1120</v>
      </c>
      <c r="G25" s="190"/>
      <c r="H25" s="140"/>
      <c r="I25" s="135">
        <v>42461</v>
      </c>
      <c r="J25" s="134" t="s">
        <v>1121</v>
      </c>
      <c r="K25" s="133" t="s">
        <v>1120</v>
      </c>
      <c r="L25" s="190"/>
      <c r="M25" s="140"/>
      <c r="N25" s="135">
        <v>42491</v>
      </c>
      <c r="O25" s="134" t="s">
        <v>1119</v>
      </c>
      <c r="P25" s="133" t="s">
        <v>1118</v>
      </c>
      <c r="Q25" s="132"/>
    </row>
    <row r="26" spans="1:17" ht="40.5" customHeight="1">
      <c r="A26" s="190"/>
      <c r="B26" s="191" t="s">
        <v>1021</v>
      </c>
      <c r="C26" s="140"/>
      <c r="D26" s="144">
        <v>42675</v>
      </c>
      <c r="E26" s="143" t="s">
        <v>1020</v>
      </c>
      <c r="F26" s="142"/>
      <c r="G26" s="190"/>
      <c r="H26" s="140"/>
      <c r="I26" s="144">
        <v>42675</v>
      </c>
      <c r="J26" s="143" t="s">
        <v>1020</v>
      </c>
      <c r="K26" s="142"/>
      <c r="L26" s="190"/>
      <c r="M26" s="140"/>
      <c r="N26" s="144">
        <v>42675</v>
      </c>
      <c r="O26" s="143" t="s">
        <v>1020</v>
      </c>
      <c r="P26" s="142"/>
      <c r="Q26" s="132"/>
    </row>
    <row r="27" spans="1:17" ht="129.75" customHeight="1">
      <c r="A27" s="190"/>
      <c r="B27" s="191"/>
      <c r="C27" s="136">
        <v>30</v>
      </c>
      <c r="D27" s="135">
        <v>42856</v>
      </c>
      <c r="E27" s="134" t="s">
        <v>1117</v>
      </c>
      <c r="F27" s="133" t="s">
        <v>1116</v>
      </c>
      <c r="G27" s="190"/>
      <c r="H27" s="136">
        <v>30</v>
      </c>
      <c r="I27" s="135">
        <v>42856</v>
      </c>
      <c r="J27" s="134" t="s">
        <v>1115</v>
      </c>
      <c r="K27" s="133" t="s">
        <v>1114</v>
      </c>
      <c r="L27" s="190"/>
      <c r="M27" s="136">
        <v>30</v>
      </c>
      <c r="N27" s="135">
        <v>42856</v>
      </c>
      <c r="O27" s="134" t="s">
        <v>1113</v>
      </c>
      <c r="P27" s="133" t="s">
        <v>1112</v>
      </c>
      <c r="Q27" s="132"/>
    </row>
    <row r="28" spans="1:17">
      <c r="A28" s="132"/>
      <c r="B28" s="132"/>
      <c r="C28" s="132"/>
      <c r="D28" s="132"/>
      <c r="E28" s="132"/>
      <c r="F28" s="132"/>
      <c r="G28" s="132"/>
      <c r="H28" s="132"/>
      <c r="I28" s="132"/>
      <c r="J28" s="132"/>
      <c r="K28" s="132"/>
      <c r="L28" s="132"/>
      <c r="M28" s="132"/>
      <c r="N28" s="132"/>
      <c r="O28" s="132"/>
      <c r="P28" s="132"/>
      <c r="Q28" s="132"/>
    </row>
    <row r="29" spans="1:17" ht="18.75">
      <c r="A29" s="190">
        <v>4</v>
      </c>
      <c r="B29" s="148"/>
      <c r="C29" s="140"/>
      <c r="D29" s="147">
        <v>41883</v>
      </c>
      <c r="E29" s="138" t="s">
        <v>1046</v>
      </c>
      <c r="F29" s="138" t="s">
        <v>1045</v>
      </c>
      <c r="G29" s="190">
        <v>4</v>
      </c>
      <c r="H29" s="140"/>
      <c r="I29" s="147">
        <v>41883</v>
      </c>
      <c r="J29" s="138" t="s">
        <v>1046</v>
      </c>
      <c r="K29" s="138" t="s">
        <v>1045</v>
      </c>
      <c r="L29" s="190">
        <v>4</v>
      </c>
      <c r="M29" s="140"/>
      <c r="N29" s="147">
        <v>41883</v>
      </c>
      <c r="O29" s="138" t="s">
        <v>1046</v>
      </c>
      <c r="P29" s="138" t="s">
        <v>1045</v>
      </c>
      <c r="Q29" s="132"/>
    </row>
    <row r="30" spans="1:17" ht="15" customHeight="1">
      <c r="A30" s="190"/>
      <c r="B30" s="191" t="s">
        <v>1044</v>
      </c>
      <c r="C30" s="140"/>
      <c r="D30" s="146" t="s">
        <v>1043</v>
      </c>
      <c r="E30" s="143" t="s">
        <v>1042</v>
      </c>
      <c r="F30" s="142"/>
      <c r="G30" s="190"/>
      <c r="H30" s="140"/>
      <c r="I30" s="146" t="s">
        <v>1043</v>
      </c>
      <c r="J30" s="143" t="s">
        <v>1042</v>
      </c>
      <c r="K30" s="142"/>
      <c r="L30" s="190"/>
      <c r="M30" s="140"/>
      <c r="N30" s="146" t="s">
        <v>1043</v>
      </c>
      <c r="O30" s="143" t="s">
        <v>1042</v>
      </c>
      <c r="P30" s="142"/>
      <c r="Q30" s="132"/>
    </row>
    <row r="31" spans="1:17" ht="139.5" customHeight="1">
      <c r="A31" s="190"/>
      <c r="B31" s="191"/>
      <c r="C31" s="140"/>
      <c r="D31" s="145" t="s">
        <v>1109</v>
      </c>
      <c r="E31" s="134" t="s">
        <v>1111</v>
      </c>
      <c r="F31" s="133" t="s">
        <v>1110</v>
      </c>
      <c r="G31" s="190"/>
      <c r="H31" s="140"/>
      <c r="I31" s="145" t="s">
        <v>1109</v>
      </c>
      <c r="J31" s="134" t="s">
        <v>1108</v>
      </c>
      <c r="K31" s="133" t="s">
        <v>1107</v>
      </c>
      <c r="L31" s="190"/>
      <c r="M31" s="140"/>
      <c r="N31" s="145" t="s">
        <v>1109</v>
      </c>
      <c r="O31" s="134" t="s">
        <v>1108</v>
      </c>
      <c r="P31" s="133" t="s">
        <v>1107</v>
      </c>
      <c r="Q31" s="132"/>
    </row>
    <row r="32" spans="1:17" ht="30">
      <c r="A32" s="190"/>
      <c r="B32" s="191" t="s">
        <v>1034</v>
      </c>
      <c r="C32" s="140"/>
      <c r="D32" s="144">
        <v>42309</v>
      </c>
      <c r="E32" s="143" t="s">
        <v>1106</v>
      </c>
      <c r="F32" s="142"/>
      <c r="G32" s="190"/>
      <c r="H32" s="140"/>
      <c r="I32" s="144">
        <v>42309</v>
      </c>
      <c r="J32" s="143" t="s">
        <v>1032</v>
      </c>
      <c r="K32" s="142"/>
      <c r="L32" s="190"/>
      <c r="M32" s="140"/>
      <c r="N32" s="144">
        <v>42309</v>
      </c>
      <c r="O32" s="143" t="s">
        <v>1094</v>
      </c>
      <c r="P32" s="142"/>
      <c r="Q32" s="132"/>
    </row>
    <row r="33" spans="1:17" ht="108" customHeight="1">
      <c r="A33" s="190"/>
      <c r="B33" s="191"/>
      <c r="C33" s="140"/>
      <c r="D33" s="135">
        <v>42491</v>
      </c>
      <c r="E33" s="134" t="s">
        <v>1103</v>
      </c>
      <c r="F33" s="133" t="s">
        <v>1105</v>
      </c>
      <c r="G33" s="190"/>
      <c r="H33" s="140"/>
      <c r="I33" s="135">
        <v>42491</v>
      </c>
      <c r="J33" s="134" t="s">
        <v>1103</v>
      </c>
      <c r="K33" s="133" t="s">
        <v>1104</v>
      </c>
      <c r="L33" s="190"/>
      <c r="M33" s="140"/>
      <c r="N33" s="135">
        <v>42491</v>
      </c>
      <c r="O33" s="134" t="s">
        <v>1103</v>
      </c>
      <c r="P33" s="133" t="s">
        <v>1102</v>
      </c>
      <c r="Q33" s="132"/>
    </row>
    <row r="34" spans="1:17" ht="24" customHeight="1">
      <c r="A34" s="190"/>
      <c r="B34" s="191" t="s">
        <v>1021</v>
      </c>
      <c r="C34" s="140"/>
      <c r="D34" s="144">
        <v>42675</v>
      </c>
      <c r="E34" s="143" t="s">
        <v>1020</v>
      </c>
      <c r="F34" s="142"/>
      <c r="G34" s="190"/>
      <c r="H34" s="140"/>
      <c r="I34" s="144">
        <v>42675</v>
      </c>
      <c r="J34" s="143" t="s">
        <v>1020</v>
      </c>
      <c r="K34" s="142"/>
      <c r="L34" s="190"/>
      <c r="M34" s="140"/>
      <c r="N34" s="144">
        <v>42675</v>
      </c>
      <c r="O34" s="143" t="s">
        <v>1020</v>
      </c>
      <c r="P34" s="142"/>
      <c r="Q34" s="132"/>
    </row>
    <row r="35" spans="1:17" ht="138.75" customHeight="1">
      <c r="A35" s="190"/>
      <c r="B35" s="191"/>
      <c r="C35" s="136">
        <v>16</v>
      </c>
      <c r="D35" s="135">
        <v>42856</v>
      </c>
      <c r="E35" s="134" t="s">
        <v>1072</v>
      </c>
      <c r="F35" s="133" t="s">
        <v>1100</v>
      </c>
      <c r="G35" s="190"/>
      <c r="H35" s="136">
        <v>14</v>
      </c>
      <c r="I35" s="135">
        <v>42856</v>
      </c>
      <c r="J35" s="134" t="s">
        <v>1101</v>
      </c>
      <c r="K35" s="133" t="s">
        <v>1100</v>
      </c>
      <c r="L35" s="190"/>
      <c r="M35" s="136">
        <v>5</v>
      </c>
      <c r="N35" s="135">
        <v>42856</v>
      </c>
      <c r="O35" s="134" t="s">
        <v>1099</v>
      </c>
      <c r="P35" s="133" t="s">
        <v>1098</v>
      </c>
      <c r="Q35" s="132"/>
    </row>
    <row r="36" spans="1:17">
      <c r="A36" s="132"/>
      <c r="B36" s="132"/>
      <c r="C36" s="132"/>
      <c r="D36" s="132"/>
      <c r="E36" s="132"/>
      <c r="F36" s="132"/>
      <c r="G36" s="132"/>
      <c r="H36" s="132"/>
      <c r="I36" s="132"/>
      <c r="J36" s="132"/>
      <c r="K36" s="132"/>
      <c r="L36" s="132"/>
      <c r="M36" s="132"/>
      <c r="N36" s="132"/>
      <c r="O36" s="132"/>
      <c r="P36" s="132"/>
      <c r="Q36" s="132"/>
    </row>
    <row r="37" spans="1:17" ht="18.75">
      <c r="A37" s="190">
        <v>5</v>
      </c>
      <c r="B37" s="148"/>
      <c r="C37" s="140"/>
      <c r="D37" s="147">
        <v>41883</v>
      </c>
      <c r="E37" s="138" t="s">
        <v>1046</v>
      </c>
      <c r="F37" s="138" t="s">
        <v>1045</v>
      </c>
      <c r="G37" s="190">
        <v>5</v>
      </c>
      <c r="H37" s="140"/>
      <c r="I37" s="147">
        <v>41883</v>
      </c>
      <c r="J37" s="138" t="s">
        <v>1046</v>
      </c>
      <c r="K37" s="138" t="s">
        <v>1045</v>
      </c>
      <c r="L37" s="190">
        <v>5</v>
      </c>
      <c r="M37" s="140"/>
      <c r="N37" s="147">
        <v>41883</v>
      </c>
      <c r="O37" s="138" t="s">
        <v>1046</v>
      </c>
      <c r="P37" s="138" t="s">
        <v>1045</v>
      </c>
      <c r="Q37" s="132"/>
    </row>
    <row r="38" spans="1:17" ht="15" customHeight="1">
      <c r="A38" s="190"/>
      <c r="B38" s="191" t="s">
        <v>1044</v>
      </c>
      <c r="C38" s="140"/>
      <c r="D38" s="146" t="s">
        <v>1043</v>
      </c>
      <c r="E38" s="143" t="s">
        <v>1042</v>
      </c>
      <c r="F38" s="142"/>
      <c r="G38" s="190"/>
      <c r="H38" s="140"/>
      <c r="I38" s="146" t="s">
        <v>1043</v>
      </c>
      <c r="J38" s="143" t="s">
        <v>1042</v>
      </c>
      <c r="K38" s="142"/>
      <c r="L38" s="190"/>
      <c r="M38" s="140"/>
      <c r="N38" s="146" t="s">
        <v>1043</v>
      </c>
      <c r="O38" s="143" t="s">
        <v>1042</v>
      </c>
      <c r="P38" s="142"/>
      <c r="Q38" s="132"/>
    </row>
    <row r="39" spans="1:17" ht="123" customHeight="1">
      <c r="A39" s="190"/>
      <c r="B39" s="191"/>
      <c r="C39" s="140"/>
      <c r="D39" s="145" t="s">
        <v>1037</v>
      </c>
      <c r="E39" s="134" t="s">
        <v>1097</v>
      </c>
      <c r="F39" s="133" t="s">
        <v>1095</v>
      </c>
      <c r="G39" s="190"/>
      <c r="H39" s="140"/>
      <c r="I39" s="145" t="s">
        <v>1037</v>
      </c>
      <c r="J39" s="134" t="s">
        <v>1097</v>
      </c>
      <c r="K39" s="133" t="s">
        <v>1096</v>
      </c>
      <c r="L39" s="190"/>
      <c r="M39" s="140"/>
      <c r="N39" s="145" t="s">
        <v>1037</v>
      </c>
      <c r="O39" s="134" t="s">
        <v>1066</v>
      </c>
      <c r="P39" s="133" t="s">
        <v>1095</v>
      </c>
      <c r="Q39" s="132"/>
    </row>
    <row r="40" spans="1:17" ht="30">
      <c r="A40" s="190"/>
      <c r="B40" s="191" t="s">
        <v>1034</v>
      </c>
      <c r="C40" s="140"/>
      <c r="D40" s="144">
        <v>42309</v>
      </c>
      <c r="E40" s="143" t="s">
        <v>1033</v>
      </c>
      <c r="F40" s="142"/>
      <c r="G40" s="190"/>
      <c r="H40" s="140"/>
      <c r="I40" s="144"/>
      <c r="J40" s="143" t="s">
        <v>1094</v>
      </c>
      <c r="K40" s="142"/>
      <c r="L40" s="190"/>
      <c r="M40" s="140"/>
      <c r="N40" s="144">
        <v>42309</v>
      </c>
      <c r="O40" s="143" t="s">
        <v>1094</v>
      </c>
      <c r="P40" s="142"/>
      <c r="Q40" s="132"/>
    </row>
    <row r="41" spans="1:17" ht="112.5" customHeight="1">
      <c r="A41" s="190"/>
      <c r="B41" s="191"/>
      <c r="C41" s="140"/>
      <c r="D41" s="135">
        <v>42461</v>
      </c>
      <c r="E41" s="134" t="s">
        <v>1093</v>
      </c>
      <c r="F41" s="133" t="s">
        <v>1092</v>
      </c>
      <c r="G41" s="190"/>
      <c r="H41" s="140"/>
      <c r="I41" s="135">
        <v>42491</v>
      </c>
      <c r="J41" s="134" t="s">
        <v>1091</v>
      </c>
      <c r="K41" s="133" t="s">
        <v>1090</v>
      </c>
      <c r="L41" s="190"/>
      <c r="M41" s="140"/>
      <c r="N41" s="135">
        <v>42491</v>
      </c>
      <c r="O41" s="134" t="s">
        <v>1091</v>
      </c>
      <c r="P41" s="133" t="s">
        <v>1090</v>
      </c>
      <c r="Q41" s="132"/>
    </row>
    <row r="42" spans="1:17" ht="18.75">
      <c r="A42" s="190"/>
      <c r="B42" s="191" t="s">
        <v>1021</v>
      </c>
      <c r="C42" s="140"/>
      <c r="D42" s="144">
        <v>42675</v>
      </c>
      <c r="E42" s="143" t="s">
        <v>1020</v>
      </c>
      <c r="F42" s="142"/>
      <c r="G42" s="190"/>
      <c r="H42" s="140"/>
      <c r="I42" s="144">
        <v>42675</v>
      </c>
      <c r="J42" s="143" t="s">
        <v>1020</v>
      </c>
      <c r="K42" s="142"/>
      <c r="L42" s="190"/>
      <c r="M42" s="140"/>
      <c r="N42" s="144">
        <v>42675</v>
      </c>
      <c r="O42" s="143" t="s">
        <v>1020</v>
      </c>
      <c r="P42" s="142"/>
      <c r="Q42" s="132"/>
    </row>
    <row r="43" spans="1:17" ht="129.75" customHeight="1">
      <c r="A43" s="190"/>
      <c r="B43" s="191"/>
      <c r="C43" s="136">
        <v>10</v>
      </c>
      <c r="D43" s="135">
        <v>42856</v>
      </c>
      <c r="E43" s="134" t="s">
        <v>1087</v>
      </c>
      <c r="F43" s="133" t="s">
        <v>1089</v>
      </c>
      <c r="G43" s="190"/>
      <c r="H43" s="136">
        <v>10</v>
      </c>
      <c r="I43" s="135">
        <v>42856</v>
      </c>
      <c r="J43" s="134" t="s">
        <v>1087</v>
      </c>
      <c r="K43" s="133" t="s">
        <v>1088</v>
      </c>
      <c r="L43" s="190"/>
      <c r="M43" s="136">
        <v>10</v>
      </c>
      <c r="N43" s="135">
        <v>42856</v>
      </c>
      <c r="O43" s="134" t="s">
        <v>1087</v>
      </c>
      <c r="P43" s="133" t="s">
        <v>1086</v>
      </c>
      <c r="Q43" s="132"/>
    </row>
    <row r="44" spans="1:17">
      <c r="A44" s="132"/>
      <c r="B44" s="132"/>
      <c r="C44" s="132"/>
      <c r="D44" s="132"/>
      <c r="E44" s="132"/>
      <c r="F44" s="132"/>
      <c r="G44" s="132"/>
      <c r="H44" s="132"/>
      <c r="I44" s="132"/>
      <c r="J44" s="132"/>
      <c r="K44" s="132"/>
      <c r="L44" s="132"/>
      <c r="M44" s="132"/>
      <c r="N44" s="132"/>
      <c r="O44" s="132"/>
      <c r="P44" s="132"/>
      <c r="Q44" s="132"/>
    </row>
    <row r="45" spans="1:17" ht="18.75">
      <c r="A45" s="190">
        <v>6</v>
      </c>
      <c r="B45" s="148"/>
      <c r="C45" s="140"/>
      <c r="D45" s="147">
        <v>41883</v>
      </c>
      <c r="E45" s="138" t="s">
        <v>1046</v>
      </c>
      <c r="F45" s="138" t="s">
        <v>1045</v>
      </c>
      <c r="G45" s="190">
        <v>6</v>
      </c>
      <c r="H45" s="140"/>
      <c r="I45" s="147">
        <v>41883</v>
      </c>
      <c r="J45" s="138" t="s">
        <v>1046</v>
      </c>
      <c r="K45" s="138" t="s">
        <v>1045</v>
      </c>
      <c r="L45" s="190">
        <v>6</v>
      </c>
      <c r="M45" s="140"/>
      <c r="N45" s="147">
        <v>41883</v>
      </c>
      <c r="O45" s="138" t="s">
        <v>1046</v>
      </c>
      <c r="P45" s="138" t="s">
        <v>1045</v>
      </c>
      <c r="Q45" s="132"/>
    </row>
    <row r="46" spans="1:17" ht="15" customHeight="1">
      <c r="A46" s="190"/>
      <c r="B46" s="191" t="s">
        <v>1044</v>
      </c>
      <c r="C46" s="140"/>
      <c r="D46" s="146" t="s">
        <v>1043</v>
      </c>
      <c r="E46" s="143" t="s">
        <v>1042</v>
      </c>
      <c r="F46" s="142"/>
      <c r="G46" s="190"/>
      <c r="H46" s="140"/>
      <c r="I46" s="146" t="s">
        <v>1043</v>
      </c>
      <c r="J46" s="143" t="s">
        <v>1042</v>
      </c>
      <c r="K46" s="142"/>
      <c r="L46" s="190"/>
      <c r="M46" s="140"/>
      <c r="N46" s="146" t="s">
        <v>1043</v>
      </c>
      <c r="O46" s="143" t="s">
        <v>1042</v>
      </c>
      <c r="P46" s="142"/>
      <c r="Q46" s="132"/>
    </row>
    <row r="47" spans="1:17" ht="128.25" customHeight="1">
      <c r="A47" s="190"/>
      <c r="B47" s="191"/>
      <c r="C47" s="140"/>
      <c r="D47" s="145" t="s">
        <v>1037</v>
      </c>
      <c r="E47" s="134" t="s">
        <v>1041</v>
      </c>
      <c r="F47" s="133" t="s">
        <v>1085</v>
      </c>
      <c r="G47" s="190"/>
      <c r="H47" s="140"/>
      <c r="I47" s="145" t="s">
        <v>1037</v>
      </c>
      <c r="J47" s="134" t="s">
        <v>1039</v>
      </c>
      <c r="K47" s="133" t="s">
        <v>1084</v>
      </c>
      <c r="L47" s="190"/>
      <c r="M47" s="140"/>
      <c r="N47" s="145" t="s">
        <v>1037</v>
      </c>
      <c r="O47" s="134" t="s">
        <v>1036</v>
      </c>
      <c r="P47" s="133" t="s">
        <v>1035</v>
      </c>
      <c r="Q47" s="132"/>
    </row>
    <row r="48" spans="1:17" ht="18.75" customHeight="1">
      <c r="A48" s="190"/>
      <c r="B48" s="192" t="s">
        <v>1034</v>
      </c>
      <c r="C48" s="140"/>
      <c r="D48" s="144">
        <v>42309</v>
      </c>
      <c r="E48" s="143" t="s">
        <v>1033</v>
      </c>
      <c r="F48" s="142"/>
      <c r="G48" s="190"/>
      <c r="H48" s="140"/>
      <c r="I48" s="144">
        <v>42309</v>
      </c>
      <c r="J48" s="143" t="s">
        <v>1032</v>
      </c>
      <c r="K48" s="142"/>
      <c r="L48" s="190"/>
      <c r="M48" s="140"/>
      <c r="N48" s="144">
        <v>42309</v>
      </c>
      <c r="O48" s="143" t="s">
        <v>1032</v>
      </c>
      <c r="P48" s="142"/>
      <c r="Q48" s="132"/>
    </row>
    <row r="49" spans="1:17" ht="115.5" customHeight="1">
      <c r="A49" s="190"/>
      <c r="B49" s="192"/>
      <c r="C49" s="140"/>
      <c r="D49" s="139">
        <v>42430</v>
      </c>
      <c r="E49" s="141" t="s">
        <v>1064</v>
      </c>
      <c r="F49" s="137" t="s">
        <v>1063</v>
      </c>
      <c r="G49" s="190"/>
      <c r="H49" s="140"/>
      <c r="I49" s="139">
        <v>42430</v>
      </c>
      <c r="J49" s="141" t="s">
        <v>1083</v>
      </c>
      <c r="K49" s="137" t="s">
        <v>1061</v>
      </c>
      <c r="L49" s="190"/>
      <c r="M49" s="140"/>
      <c r="N49" s="139">
        <v>42430</v>
      </c>
      <c r="O49" s="141" t="s">
        <v>1082</v>
      </c>
      <c r="P49" s="137" t="s">
        <v>1081</v>
      </c>
      <c r="Q49" s="132"/>
    </row>
    <row r="50" spans="1:17" ht="18.75">
      <c r="A50" s="190"/>
      <c r="B50" s="192"/>
      <c r="C50" s="140"/>
      <c r="D50" s="139">
        <v>42491</v>
      </c>
      <c r="E50" s="138" t="s">
        <v>1024</v>
      </c>
      <c r="F50" s="137"/>
      <c r="G50" s="190"/>
      <c r="H50" s="140"/>
      <c r="I50" s="139">
        <v>42491</v>
      </c>
      <c r="J50" s="138" t="s">
        <v>1024</v>
      </c>
      <c r="K50" s="137"/>
      <c r="L50" s="190"/>
      <c r="M50" s="140"/>
      <c r="N50" s="139">
        <v>42491</v>
      </c>
      <c r="O50" s="138" t="s">
        <v>1024</v>
      </c>
      <c r="P50" s="137"/>
      <c r="Q50" s="132"/>
    </row>
    <row r="51" spans="1:17" ht="30">
      <c r="A51" s="190"/>
      <c r="B51" s="192"/>
      <c r="C51" s="140"/>
      <c r="D51" s="135">
        <v>42522</v>
      </c>
      <c r="E51" s="134" t="s">
        <v>1079</v>
      </c>
      <c r="F51" s="133" t="s">
        <v>1080</v>
      </c>
      <c r="G51" s="190"/>
      <c r="H51" s="140"/>
      <c r="I51" s="135">
        <v>42522</v>
      </c>
      <c r="J51" s="134" t="s">
        <v>1079</v>
      </c>
      <c r="K51" s="133" t="s">
        <v>1078</v>
      </c>
      <c r="L51" s="190"/>
      <c r="M51" s="140"/>
      <c r="N51" s="135">
        <v>42522</v>
      </c>
      <c r="O51" s="134" t="s">
        <v>1077</v>
      </c>
      <c r="P51" s="133"/>
      <c r="Q51" s="132"/>
    </row>
    <row r="52" spans="1:17" ht="18.75" customHeight="1">
      <c r="A52" s="190"/>
      <c r="B52" s="193" t="s">
        <v>1021</v>
      </c>
      <c r="C52" s="140"/>
      <c r="D52" s="144">
        <v>42675</v>
      </c>
      <c r="E52" s="143" t="s">
        <v>1020</v>
      </c>
      <c r="F52" s="142"/>
      <c r="G52" s="190"/>
      <c r="H52" s="140"/>
      <c r="I52" s="144">
        <v>42675</v>
      </c>
      <c r="J52" s="143" t="s">
        <v>1020</v>
      </c>
      <c r="K52" s="142"/>
      <c r="L52" s="190"/>
      <c r="M52" s="140"/>
      <c r="N52" s="144">
        <v>42675</v>
      </c>
      <c r="O52" s="143" t="s">
        <v>1020</v>
      </c>
      <c r="P52" s="142"/>
      <c r="Q52" s="132"/>
    </row>
    <row r="53" spans="1:17" ht="72" customHeight="1">
      <c r="A53" s="190"/>
      <c r="B53" s="194"/>
      <c r="C53" s="149">
        <v>28</v>
      </c>
      <c r="D53" s="139">
        <v>42795</v>
      </c>
      <c r="E53" s="141" t="s">
        <v>1076</v>
      </c>
      <c r="F53" s="137" t="s">
        <v>1075</v>
      </c>
      <c r="G53" s="190"/>
      <c r="H53" s="136">
        <v>28</v>
      </c>
      <c r="I53" s="139">
        <v>42795</v>
      </c>
      <c r="J53" s="141" t="s">
        <v>1052</v>
      </c>
      <c r="K53" s="137" t="s">
        <v>1074</v>
      </c>
      <c r="L53" s="190"/>
      <c r="M53" s="136">
        <f>354/4/10</f>
        <v>8.85</v>
      </c>
      <c r="N53" s="139">
        <v>42795</v>
      </c>
      <c r="O53" s="141" t="s">
        <v>1052</v>
      </c>
      <c r="P53" s="137" t="s">
        <v>1073</v>
      </c>
      <c r="Q53" s="132"/>
    </row>
    <row r="54" spans="1:17" ht="18.75">
      <c r="A54" s="190"/>
      <c r="B54" s="194"/>
      <c r="C54" s="140"/>
      <c r="D54" s="139"/>
      <c r="E54" s="138"/>
      <c r="F54" s="137"/>
      <c r="G54" s="190"/>
      <c r="H54" s="140"/>
      <c r="I54" s="139"/>
      <c r="J54" s="138"/>
      <c r="K54" s="137"/>
      <c r="L54" s="190"/>
      <c r="M54" s="140"/>
      <c r="N54" s="139"/>
      <c r="O54" s="138"/>
      <c r="P54" s="137"/>
      <c r="Q54" s="132"/>
    </row>
    <row r="55" spans="1:17" ht="66.75" customHeight="1">
      <c r="A55" s="190"/>
      <c r="B55" s="195"/>
      <c r="C55" s="149">
        <v>4</v>
      </c>
      <c r="D55" s="135">
        <v>42887</v>
      </c>
      <c r="E55" s="134" t="s">
        <v>1072</v>
      </c>
      <c r="F55" s="133" t="s">
        <v>1071</v>
      </c>
      <c r="G55" s="190"/>
      <c r="H55" s="136">
        <v>4</v>
      </c>
      <c r="I55" s="135">
        <v>42887</v>
      </c>
      <c r="J55" s="134" t="s">
        <v>1069</v>
      </c>
      <c r="K55" s="133" t="s">
        <v>1070</v>
      </c>
      <c r="L55" s="190"/>
      <c r="M55" s="136">
        <v>3</v>
      </c>
      <c r="N55" s="135">
        <v>42887</v>
      </c>
      <c r="O55" s="134" t="s">
        <v>1069</v>
      </c>
      <c r="P55" s="133" t="s">
        <v>1068</v>
      </c>
      <c r="Q55" s="132"/>
    </row>
    <row r="56" spans="1:17">
      <c r="A56" s="132"/>
      <c r="B56" s="132"/>
      <c r="C56" s="132"/>
      <c r="D56" s="132"/>
      <c r="E56" s="132"/>
      <c r="F56" s="132"/>
      <c r="G56" s="132"/>
      <c r="H56" s="132"/>
      <c r="I56" s="132"/>
      <c r="J56" s="132"/>
      <c r="K56" s="132"/>
      <c r="L56" s="132"/>
      <c r="M56" s="132"/>
      <c r="N56" s="132"/>
      <c r="O56" s="132"/>
      <c r="P56" s="132"/>
      <c r="Q56" s="132"/>
    </row>
    <row r="57" spans="1:17" ht="18.75">
      <c r="A57" s="190">
        <v>7</v>
      </c>
      <c r="B57" s="148"/>
      <c r="C57" s="140"/>
      <c r="D57" s="147">
        <v>41883</v>
      </c>
      <c r="E57" s="138" t="s">
        <v>1046</v>
      </c>
      <c r="F57" s="138" t="s">
        <v>1045</v>
      </c>
      <c r="G57" s="190">
        <v>7</v>
      </c>
      <c r="H57" s="140"/>
      <c r="I57" s="147">
        <v>41883</v>
      </c>
      <c r="J57" s="138" t="s">
        <v>1046</v>
      </c>
      <c r="K57" s="138" t="s">
        <v>1045</v>
      </c>
      <c r="L57" s="190">
        <v>7</v>
      </c>
      <c r="M57" s="140"/>
      <c r="N57" s="147">
        <v>41883</v>
      </c>
      <c r="O57" s="138" t="s">
        <v>1046</v>
      </c>
      <c r="P57" s="138" t="s">
        <v>1045</v>
      </c>
      <c r="Q57" s="132"/>
    </row>
    <row r="58" spans="1:17" ht="15" customHeight="1">
      <c r="A58" s="190"/>
      <c r="B58" s="191" t="s">
        <v>1044</v>
      </c>
      <c r="C58" s="140"/>
      <c r="D58" s="146" t="s">
        <v>1043</v>
      </c>
      <c r="E58" s="143" t="s">
        <v>1042</v>
      </c>
      <c r="F58" s="142"/>
      <c r="G58" s="190"/>
      <c r="H58" s="140"/>
      <c r="I58" s="146" t="s">
        <v>1043</v>
      </c>
      <c r="J58" s="143" t="s">
        <v>1042</v>
      </c>
      <c r="K58" s="142"/>
      <c r="L58" s="190"/>
      <c r="M58" s="140"/>
      <c r="N58" s="146" t="s">
        <v>1043</v>
      </c>
      <c r="O58" s="143" t="s">
        <v>1042</v>
      </c>
      <c r="P58" s="142"/>
      <c r="Q58" s="132"/>
    </row>
    <row r="59" spans="1:17" ht="138" customHeight="1">
      <c r="A59" s="190"/>
      <c r="B59" s="191"/>
      <c r="C59" s="140"/>
      <c r="D59" s="145" t="s">
        <v>1037</v>
      </c>
      <c r="E59" s="134" t="s">
        <v>1067</v>
      </c>
      <c r="F59" s="133" t="s">
        <v>1065</v>
      </c>
      <c r="G59" s="190"/>
      <c r="H59" s="140"/>
      <c r="I59" s="145" t="s">
        <v>1037</v>
      </c>
      <c r="J59" s="134" t="s">
        <v>1066</v>
      </c>
      <c r="K59" s="133" t="s">
        <v>1065</v>
      </c>
      <c r="L59" s="190"/>
      <c r="M59" s="140"/>
      <c r="N59" s="145" t="s">
        <v>1037</v>
      </c>
      <c r="O59" s="134" t="s">
        <v>1066</v>
      </c>
      <c r="P59" s="133" t="s">
        <v>1065</v>
      </c>
      <c r="Q59" s="132"/>
    </row>
    <row r="60" spans="1:17" ht="18.75" customHeight="1">
      <c r="A60" s="190"/>
      <c r="B60" s="191" t="s">
        <v>1034</v>
      </c>
      <c r="C60" s="140"/>
      <c r="D60" s="144">
        <v>42309</v>
      </c>
      <c r="E60" s="143" t="s">
        <v>1033</v>
      </c>
      <c r="F60" s="142"/>
      <c r="G60" s="190"/>
      <c r="H60" s="140"/>
      <c r="I60" s="144">
        <v>42309</v>
      </c>
      <c r="J60" s="143" t="s">
        <v>1032</v>
      </c>
      <c r="K60" s="142"/>
      <c r="L60" s="190"/>
      <c r="M60" s="140"/>
      <c r="N60" s="144">
        <v>42309</v>
      </c>
      <c r="O60" s="143" t="s">
        <v>1032</v>
      </c>
      <c r="P60" s="142"/>
      <c r="Q60" s="132"/>
    </row>
    <row r="61" spans="1:17" ht="75">
      <c r="A61" s="190"/>
      <c r="B61" s="191"/>
      <c r="C61" s="140"/>
      <c r="D61" s="139">
        <v>42430</v>
      </c>
      <c r="E61" s="141" t="s">
        <v>1064</v>
      </c>
      <c r="F61" s="137" t="s">
        <v>1063</v>
      </c>
      <c r="G61" s="190"/>
      <c r="H61" s="140"/>
      <c r="I61" s="139">
        <v>42430</v>
      </c>
      <c r="J61" s="141" t="s">
        <v>1062</v>
      </c>
      <c r="K61" s="137" t="s">
        <v>1061</v>
      </c>
      <c r="L61" s="190"/>
      <c r="M61" s="140"/>
      <c r="N61" s="139">
        <v>42401</v>
      </c>
      <c r="O61" s="141" t="s">
        <v>1060</v>
      </c>
      <c r="P61" s="137" t="s">
        <v>1059</v>
      </c>
      <c r="Q61" s="132"/>
    </row>
    <row r="62" spans="1:17" ht="18.75">
      <c r="A62" s="190"/>
      <c r="B62" s="191"/>
      <c r="C62" s="140"/>
      <c r="D62" s="139"/>
      <c r="E62" s="138"/>
      <c r="F62" s="137"/>
      <c r="G62" s="190"/>
      <c r="H62" s="140"/>
      <c r="I62" s="139"/>
      <c r="J62" s="138"/>
      <c r="K62" s="137"/>
      <c r="L62" s="190"/>
      <c r="M62" s="140"/>
      <c r="N62" s="139"/>
      <c r="O62" s="138"/>
      <c r="P62" s="137"/>
      <c r="Q62" s="132"/>
    </row>
    <row r="63" spans="1:17" ht="60">
      <c r="A63" s="190"/>
      <c r="B63" s="191"/>
      <c r="C63" s="140"/>
      <c r="D63" s="135">
        <v>42522</v>
      </c>
      <c r="E63" s="134" t="s">
        <v>1058</v>
      </c>
      <c r="F63" s="133" t="s">
        <v>1057</v>
      </c>
      <c r="G63" s="190"/>
      <c r="H63" s="140"/>
      <c r="I63" s="135">
        <v>42522</v>
      </c>
      <c r="J63" s="134" t="s">
        <v>1058</v>
      </c>
      <c r="K63" s="133" t="s">
        <v>1057</v>
      </c>
      <c r="L63" s="190"/>
      <c r="M63" s="140"/>
      <c r="N63" s="135">
        <v>42522</v>
      </c>
      <c r="O63" s="134" t="s">
        <v>1056</v>
      </c>
      <c r="P63" s="133" t="s">
        <v>1055</v>
      </c>
      <c r="Q63" s="132"/>
    </row>
    <row r="64" spans="1:17" ht="18.75">
      <c r="A64" s="190"/>
      <c r="B64" s="193" t="s">
        <v>1021</v>
      </c>
      <c r="C64" s="140"/>
      <c r="D64" s="144">
        <v>42675</v>
      </c>
      <c r="E64" s="143" t="s">
        <v>1020</v>
      </c>
      <c r="F64" s="142"/>
      <c r="G64" s="190"/>
      <c r="H64" s="140"/>
      <c r="I64" s="144">
        <v>42675</v>
      </c>
      <c r="J64" s="143" t="s">
        <v>1020</v>
      </c>
      <c r="K64" s="142"/>
      <c r="L64" s="190"/>
      <c r="M64" s="140"/>
      <c r="N64" s="144">
        <v>42675</v>
      </c>
      <c r="O64" s="143" t="s">
        <v>1020</v>
      </c>
      <c r="P64" s="142"/>
      <c r="Q64" s="132"/>
    </row>
    <row r="65" spans="1:17" ht="71.25" customHeight="1">
      <c r="A65" s="190"/>
      <c r="B65" s="194"/>
      <c r="C65" s="136">
        <f>354/4/10</f>
        <v>8.85</v>
      </c>
      <c r="D65" s="139">
        <v>42795</v>
      </c>
      <c r="E65" s="141" t="s">
        <v>1054</v>
      </c>
      <c r="F65" s="137" t="s">
        <v>1053</v>
      </c>
      <c r="G65" s="190"/>
      <c r="H65" s="136">
        <f>354/4/10</f>
        <v>8.85</v>
      </c>
      <c r="I65" s="139">
        <v>42795</v>
      </c>
      <c r="J65" s="141" t="s">
        <v>1052</v>
      </c>
      <c r="K65" s="137" t="s">
        <v>1051</v>
      </c>
      <c r="L65" s="190"/>
      <c r="M65" s="136">
        <f>354/4/10</f>
        <v>8.85</v>
      </c>
      <c r="N65" s="139">
        <v>42795</v>
      </c>
      <c r="O65" s="141" t="s">
        <v>1050</v>
      </c>
      <c r="P65" s="137" t="s">
        <v>1049</v>
      </c>
      <c r="Q65" s="132"/>
    </row>
    <row r="66" spans="1:17" ht="18.75">
      <c r="A66" s="190"/>
      <c r="B66" s="194"/>
      <c r="C66" s="140"/>
      <c r="D66" s="139"/>
      <c r="E66" s="138"/>
      <c r="F66" s="137"/>
      <c r="G66" s="190"/>
      <c r="H66" s="140"/>
      <c r="I66" s="139"/>
      <c r="J66" s="138"/>
      <c r="K66" s="137"/>
      <c r="L66" s="190"/>
      <c r="M66" s="140"/>
      <c r="N66" s="139"/>
      <c r="O66" s="138"/>
      <c r="P66" s="137"/>
      <c r="Q66" s="132"/>
    </row>
    <row r="67" spans="1:17" ht="73.5" customHeight="1">
      <c r="A67" s="190"/>
      <c r="B67" s="195"/>
      <c r="C67" s="136">
        <v>13</v>
      </c>
      <c r="D67" s="135">
        <v>42887</v>
      </c>
      <c r="E67" s="134" t="s">
        <v>1048</v>
      </c>
      <c r="F67" s="133" t="s">
        <v>1047</v>
      </c>
      <c r="G67" s="190"/>
      <c r="H67" s="136">
        <v>13</v>
      </c>
      <c r="I67" s="135">
        <v>42887</v>
      </c>
      <c r="J67" s="134" t="s">
        <v>1048</v>
      </c>
      <c r="K67" s="133" t="s">
        <v>1047</v>
      </c>
      <c r="L67" s="190"/>
      <c r="M67" s="136">
        <v>13</v>
      </c>
      <c r="N67" s="135">
        <v>42887</v>
      </c>
      <c r="O67" s="134" t="s">
        <v>1048</v>
      </c>
      <c r="P67" s="133" t="s">
        <v>1047</v>
      </c>
      <c r="Q67" s="132"/>
    </row>
    <row r="68" spans="1:17">
      <c r="A68" s="132"/>
      <c r="B68" s="132"/>
      <c r="C68" s="132"/>
      <c r="D68" s="132"/>
      <c r="E68" s="132"/>
      <c r="F68" s="132"/>
      <c r="G68" s="132"/>
      <c r="H68" s="132"/>
      <c r="I68" s="132"/>
      <c r="J68" s="132"/>
      <c r="K68" s="132"/>
      <c r="L68" s="132"/>
      <c r="M68" s="132"/>
      <c r="N68" s="132"/>
      <c r="O68" s="132"/>
      <c r="P68" s="132"/>
      <c r="Q68" s="132"/>
    </row>
    <row r="69" spans="1:17" ht="18.75">
      <c r="A69" s="190">
        <v>8</v>
      </c>
      <c r="B69" s="148"/>
      <c r="C69" s="140"/>
      <c r="D69" s="147">
        <v>41883</v>
      </c>
      <c r="E69" s="138" t="s">
        <v>1046</v>
      </c>
      <c r="F69" s="138" t="s">
        <v>1045</v>
      </c>
      <c r="G69" s="190">
        <v>8</v>
      </c>
      <c r="H69" s="140"/>
      <c r="I69" s="147">
        <v>41883</v>
      </c>
      <c r="J69" s="138" t="s">
        <v>1046</v>
      </c>
      <c r="K69" s="138" t="s">
        <v>1045</v>
      </c>
      <c r="L69" s="190">
        <v>8</v>
      </c>
      <c r="M69" s="140"/>
      <c r="N69" s="147">
        <v>41883</v>
      </c>
      <c r="O69" s="138" t="s">
        <v>1046</v>
      </c>
      <c r="P69" s="138" t="s">
        <v>1045</v>
      </c>
      <c r="Q69" s="132"/>
    </row>
    <row r="70" spans="1:17" ht="15" customHeight="1">
      <c r="A70" s="190"/>
      <c r="B70" s="191" t="s">
        <v>1044</v>
      </c>
      <c r="C70" s="140"/>
      <c r="D70" s="146" t="s">
        <v>1043</v>
      </c>
      <c r="E70" s="143" t="s">
        <v>1042</v>
      </c>
      <c r="F70" s="142"/>
      <c r="G70" s="190"/>
      <c r="H70" s="140"/>
      <c r="I70" s="146" t="s">
        <v>1043</v>
      </c>
      <c r="J70" s="143" t="s">
        <v>1042</v>
      </c>
      <c r="K70" s="142"/>
      <c r="L70" s="190"/>
      <c r="M70" s="140"/>
      <c r="N70" s="146" t="s">
        <v>1043</v>
      </c>
      <c r="O70" s="143" t="s">
        <v>1042</v>
      </c>
      <c r="P70" s="142"/>
      <c r="Q70" s="132"/>
    </row>
    <row r="71" spans="1:17" ht="120">
      <c r="A71" s="190"/>
      <c r="B71" s="191"/>
      <c r="C71" s="140"/>
      <c r="D71" s="145" t="s">
        <v>1037</v>
      </c>
      <c r="E71" s="134" t="s">
        <v>1041</v>
      </c>
      <c r="F71" s="133" t="s">
        <v>1040</v>
      </c>
      <c r="G71" s="190"/>
      <c r="H71" s="140"/>
      <c r="I71" s="145" t="s">
        <v>1037</v>
      </c>
      <c r="J71" s="134" t="s">
        <v>1039</v>
      </c>
      <c r="K71" s="133" t="s">
        <v>1038</v>
      </c>
      <c r="L71" s="190"/>
      <c r="M71" s="140"/>
      <c r="N71" s="145" t="s">
        <v>1037</v>
      </c>
      <c r="O71" s="134" t="s">
        <v>1036</v>
      </c>
      <c r="P71" s="133" t="s">
        <v>1035</v>
      </c>
      <c r="Q71" s="132"/>
    </row>
    <row r="72" spans="1:17" ht="18.75" customHeight="1">
      <c r="A72" s="190"/>
      <c r="B72" s="192" t="s">
        <v>1034</v>
      </c>
      <c r="C72" s="140"/>
      <c r="D72" s="144">
        <v>42309</v>
      </c>
      <c r="E72" s="143" t="s">
        <v>1033</v>
      </c>
      <c r="F72" s="142"/>
      <c r="G72" s="190"/>
      <c r="H72" s="140"/>
      <c r="I72" s="144">
        <v>42309</v>
      </c>
      <c r="J72" s="143" t="s">
        <v>1032</v>
      </c>
      <c r="K72" s="142"/>
      <c r="L72" s="190"/>
      <c r="M72" s="140"/>
      <c r="N72" s="144">
        <v>42309</v>
      </c>
      <c r="O72" s="143" t="s">
        <v>1032</v>
      </c>
      <c r="P72" s="142"/>
      <c r="Q72" s="132"/>
    </row>
    <row r="73" spans="1:17" ht="60">
      <c r="A73" s="190"/>
      <c r="B73" s="192"/>
      <c r="C73" s="140"/>
      <c r="D73" s="139">
        <v>42401</v>
      </c>
      <c r="E73" s="141" t="s">
        <v>1031</v>
      </c>
      <c r="F73" s="137" t="s">
        <v>1030</v>
      </c>
      <c r="G73" s="190"/>
      <c r="H73" s="140"/>
      <c r="I73" s="139">
        <v>42430</v>
      </c>
      <c r="J73" s="141" t="s">
        <v>1029</v>
      </c>
      <c r="K73" s="137" t="s">
        <v>1028</v>
      </c>
      <c r="L73" s="190"/>
      <c r="M73" s="140"/>
      <c r="N73" s="139">
        <v>42430</v>
      </c>
      <c r="O73" s="141" t="s">
        <v>1027</v>
      </c>
      <c r="P73" s="137" t="s">
        <v>1026</v>
      </c>
      <c r="Q73" s="132"/>
    </row>
    <row r="74" spans="1:17" ht="18.75">
      <c r="A74" s="190"/>
      <c r="B74" s="192"/>
      <c r="C74" s="140"/>
      <c r="D74" s="139">
        <v>42491</v>
      </c>
      <c r="E74" s="138" t="s">
        <v>1024</v>
      </c>
      <c r="F74" s="137"/>
      <c r="G74" s="190"/>
      <c r="H74" s="140"/>
      <c r="I74" s="139">
        <v>42491</v>
      </c>
      <c r="J74" s="138" t="s">
        <v>1025</v>
      </c>
      <c r="K74" s="137"/>
      <c r="L74" s="190"/>
      <c r="M74" s="140"/>
      <c r="N74" s="139">
        <v>42491</v>
      </c>
      <c r="O74" s="138" t="s">
        <v>1024</v>
      </c>
      <c r="P74" s="137"/>
      <c r="Q74" s="132"/>
    </row>
    <row r="75" spans="1:17" ht="120">
      <c r="A75" s="190"/>
      <c r="B75" s="192"/>
      <c r="C75" s="140"/>
      <c r="D75" s="135">
        <v>42491</v>
      </c>
      <c r="E75" s="134" t="s">
        <v>1023</v>
      </c>
      <c r="F75" s="133" t="s">
        <v>1022</v>
      </c>
      <c r="G75" s="190"/>
      <c r="H75" s="140"/>
      <c r="I75" s="135">
        <v>42491</v>
      </c>
      <c r="J75" s="134" t="s">
        <v>1023</v>
      </c>
      <c r="K75" s="133" t="s">
        <v>1022</v>
      </c>
      <c r="L75" s="190"/>
      <c r="M75" s="140"/>
      <c r="N75" s="135">
        <v>42491</v>
      </c>
      <c r="O75" s="134" t="s">
        <v>1023</v>
      </c>
      <c r="P75" s="133" t="s">
        <v>1022</v>
      </c>
      <c r="Q75" s="132"/>
    </row>
    <row r="76" spans="1:17" ht="18.75">
      <c r="A76" s="190"/>
      <c r="B76" s="193" t="s">
        <v>1021</v>
      </c>
      <c r="C76" s="140"/>
      <c r="D76" s="144">
        <v>42675</v>
      </c>
      <c r="E76" s="143" t="s">
        <v>1020</v>
      </c>
      <c r="F76" s="142"/>
      <c r="G76" s="190"/>
      <c r="H76" s="140"/>
      <c r="I76" s="144">
        <v>42675</v>
      </c>
      <c r="J76" s="143" t="s">
        <v>1020</v>
      </c>
      <c r="K76" s="142"/>
      <c r="L76" s="190"/>
      <c r="M76" s="140"/>
      <c r="N76" s="144">
        <v>42675</v>
      </c>
      <c r="O76" s="143" t="s">
        <v>1020</v>
      </c>
      <c r="P76" s="142"/>
      <c r="Q76" s="132"/>
    </row>
    <row r="77" spans="1:17" ht="70.5" customHeight="1">
      <c r="A77" s="190"/>
      <c r="B77" s="194"/>
      <c r="C77" s="136">
        <v>9</v>
      </c>
      <c r="D77" s="139">
        <v>42795</v>
      </c>
      <c r="E77" s="141" t="s">
        <v>1019</v>
      </c>
      <c r="F77" s="137" t="s">
        <v>1018</v>
      </c>
      <c r="G77" s="190"/>
      <c r="H77" s="136">
        <v>9</v>
      </c>
      <c r="I77" s="139">
        <v>42795</v>
      </c>
      <c r="J77" s="141" t="s">
        <v>1017</v>
      </c>
      <c r="K77" s="137" t="s">
        <v>1016</v>
      </c>
      <c r="L77" s="190"/>
      <c r="M77" s="136">
        <v>9</v>
      </c>
      <c r="N77" s="139">
        <v>42795</v>
      </c>
      <c r="O77" s="141" t="s">
        <v>1015</v>
      </c>
      <c r="P77" s="137" t="s">
        <v>1014</v>
      </c>
      <c r="Q77" s="132"/>
    </row>
    <row r="78" spans="1:17" ht="18.75">
      <c r="A78" s="190"/>
      <c r="B78" s="194"/>
      <c r="C78" s="140"/>
      <c r="D78" s="139"/>
      <c r="E78" s="138"/>
      <c r="F78" s="137"/>
      <c r="G78" s="190"/>
      <c r="H78" s="140"/>
      <c r="I78" s="139"/>
      <c r="J78" s="138"/>
      <c r="K78" s="137"/>
      <c r="L78" s="190"/>
      <c r="M78" s="140"/>
      <c r="N78" s="139"/>
      <c r="O78" s="138"/>
      <c r="P78" s="137"/>
      <c r="Q78" s="132"/>
    </row>
    <row r="79" spans="1:17" ht="45" customHeight="1">
      <c r="A79" s="190"/>
      <c r="B79" s="195"/>
      <c r="C79" s="136">
        <v>19</v>
      </c>
      <c r="D79" s="135">
        <v>42887</v>
      </c>
      <c r="E79" s="134" t="s">
        <v>1013</v>
      </c>
      <c r="F79" s="133" t="s">
        <v>1010</v>
      </c>
      <c r="G79" s="190"/>
      <c r="H79" s="136">
        <v>19</v>
      </c>
      <c r="I79" s="135">
        <v>42887</v>
      </c>
      <c r="J79" s="134" t="s">
        <v>1012</v>
      </c>
      <c r="K79" s="133" t="s">
        <v>1010</v>
      </c>
      <c r="L79" s="190"/>
      <c r="M79" s="136">
        <v>19</v>
      </c>
      <c r="N79" s="135">
        <v>42887</v>
      </c>
      <c r="O79" s="134" t="s">
        <v>1011</v>
      </c>
      <c r="P79" s="133" t="s">
        <v>1010</v>
      </c>
      <c r="Q79" s="132"/>
    </row>
  </sheetData>
  <mergeCells count="52">
    <mergeCell ref="B8:B9"/>
    <mergeCell ref="B10:B11"/>
    <mergeCell ref="A13:A19"/>
    <mergeCell ref="L13:L19"/>
    <mergeCell ref="B14:B15"/>
    <mergeCell ref="B64:B67"/>
    <mergeCell ref="B76:B79"/>
    <mergeCell ref="A1:Q1"/>
    <mergeCell ref="D2:F2"/>
    <mergeCell ref="I2:K2"/>
    <mergeCell ref="N2:P2"/>
    <mergeCell ref="A3:A11"/>
    <mergeCell ref="L3:L11"/>
    <mergeCell ref="B6:B7"/>
    <mergeCell ref="A21:A27"/>
    <mergeCell ref="L21:L27"/>
    <mergeCell ref="B22:B23"/>
    <mergeCell ref="G13:G19"/>
    <mergeCell ref="G21:G27"/>
    <mergeCell ref="B16:B17"/>
    <mergeCell ref="G3:G11"/>
    <mergeCell ref="B24:B25"/>
    <mergeCell ref="B18:B19"/>
    <mergeCell ref="B26:B27"/>
    <mergeCell ref="B38:B39"/>
    <mergeCell ref="G29:G35"/>
    <mergeCell ref="G37:G43"/>
    <mergeCell ref="B32:B33"/>
    <mergeCell ref="B40:B41"/>
    <mergeCell ref="B34:B35"/>
    <mergeCell ref="B42:B43"/>
    <mergeCell ref="A29:A35"/>
    <mergeCell ref="L29:L35"/>
    <mergeCell ref="B30:B31"/>
    <mergeCell ref="A37:A43"/>
    <mergeCell ref="L37:L43"/>
    <mergeCell ref="A69:A79"/>
    <mergeCell ref="L69:L79"/>
    <mergeCell ref="B70:B71"/>
    <mergeCell ref="A45:A55"/>
    <mergeCell ref="L45:L55"/>
    <mergeCell ref="B46:B47"/>
    <mergeCell ref="A57:A67"/>
    <mergeCell ref="L57:L67"/>
    <mergeCell ref="B58:B59"/>
    <mergeCell ref="G45:G55"/>
    <mergeCell ref="G57:G67"/>
    <mergeCell ref="G69:G79"/>
    <mergeCell ref="B48:B51"/>
    <mergeCell ref="B60:B63"/>
    <mergeCell ref="B72:B75"/>
    <mergeCell ref="B52:B5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Q138"/>
  <sheetViews>
    <sheetView zoomScale="70" zoomScaleNormal="70" workbookViewId="0">
      <selection activeCell="J10" sqref="J10"/>
    </sheetView>
  </sheetViews>
  <sheetFormatPr defaultRowHeight="15"/>
  <cols>
    <col min="1" max="2" width="9.140625" style="23"/>
    <col min="3" max="3" width="16.7109375" style="23" customWidth="1"/>
    <col min="4" max="4" width="17" style="23" customWidth="1"/>
    <col min="5" max="5" width="54.28515625" style="23" customWidth="1"/>
    <col min="6" max="6" width="65" style="23" customWidth="1"/>
    <col min="7" max="7" width="3.7109375" style="23" customWidth="1"/>
    <col min="8" max="8" width="16.140625" style="23" customWidth="1"/>
    <col min="9" max="9" width="17" style="23" bestFit="1" customWidth="1"/>
    <col min="10" max="10" width="51.85546875" style="23" customWidth="1"/>
    <col min="11" max="11" width="64.42578125" style="23" customWidth="1"/>
    <col min="12" max="12" width="3.7109375" style="23" bestFit="1" customWidth="1"/>
    <col min="13" max="13" width="13.28515625" style="23" customWidth="1"/>
    <col min="14" max="14" width="17" style="23" bestFit="1" customWidth="1"/>
    <col min="15" max="15" width="50.28515625" style="23" bestFit="1" customWidth="1"/>
    <col min="16" max="16" width="98.85546875" style="23" bestFit="1" customWidth="1"/>
    <col min="17" max="17" width="9.140625" style="23" customWidth="1"/>
    <col min="18" max="16384" width="9.140625" style="23"/>
  </cols>
  <sheetData>
    <row r="1" spans="1:17" ht="62.25" thickBot="1">
      <c r="A1" s="196" t="s">
        <v>490</v>
      </c>
      <c r="B1" s="197"/>
      <c r="C1" s="197"/>
      <c r="D1" s="197"/>
      <c r="E1" s="197"/>
      <c r="F1" s="197"/>
      <c r="G1" s="197"/>
      <c r="H1" s="197"/>
      <c r="I1" s="197"/>
      <c r="J1" s="197"/>
      <c r="K1" s="197"/>
      <c r="L1" s="197"/>
      <c r="M1" s="197"/>
      <c r="N1" s="197"/>
      <c r="O1" s="197"/>
      <c r="P1" s="197"/>
      <c r="Q1" s="198"/>
    </row>
    <row r="2" spans="1:17" ht="26.25">
      <c r="A2" s="132"/>
      <c r="B2" s="132"/>
      <c r="C2" s="132"/>
      <c r="D2" s="201" t="s">
        <v>480</v>
      </c>
      <c r="E2" s="201"/>
      <c r="F2" s="201"/>
      <c r="G2" s="132"/>
      <c r="H2" s="132"/>
      <c r="I2" s="201" t="s">
        <v>481</v>
      </c>
      <c r="J2" s="201"/>
      <c r="K2" s="201"/>
      <c r="L2" s="132"/>
      <c r="M2" s="132"/>
      <c r="N2" s="201" t="s">
        <v>482</v>
      </c>
      <c r="O2" s="201"/>
      <c r="P2" s="201"/>
      <c r="Q2" s="132"/>
    </row>
    <row r="3" spans="1:17" ht="18.75">
      <c r="A3" s="190">
        <v>1</v>
      </c>
      <c r="B3" s="148"/>
      <c r="C3" s="140"/>
      <c r="D3" s="155"/>
      <c r="E3" s="155"/>
      <c r="F3" s="155"/>
      <c r="G3" s="190">
        <v>1</v>
      </c>
      <c r="H3" s="140"/>
      <c r="I3" s="155"/>
      <c r="J3" s="155" t="s">
        <v>481</v>
      </c>
      <c r="K3" s="155"/>
      <c r="L3" s="190">
        <v>1</v>
      </c>
      <c r="M3" s="140"/>
      <c r="N3" s="155" t="s">
        <v>482</v>
      </c>
      <c r="O3" s="155"/>
      <c r="P3" s="155"/>
      <c r="Q3" s="154"/>
    </row>
    <row r="4" spans="1:17" ht="18.75">
      <c r="A4" s="190"/>
      <c r="B4" s="148"/>
      <c r="C4" s="140"/>
      <c r="D4" s="153" t="s">
        <v>483</v>
      </c>
      <c r="E4" s="153" t="s">
        <v>1149</v>
      </c>
      <c r="F4" s="153" t="s">
        <v>1148</v>
      </c>
      <c r="G4" s="190"/>
      <c r="H4" s="140"/>
      <c r="I4" s="153" t="s">
        <v>483</v>
      </c>
      <c r="J4" s="153" t="s">
        <v>1149</v>
      </c>
      <c r="K4" s="153" t="s">
        <v>1148</v>
      </c>
      <c r="L4" s="190"/>
      <c r="M4" s="140"/>
      <c r="N4" s="153" t="s">
        <v>483</v>
      </c>
      <c r="O4" s="153" t="s">
        <v>1149</v>
      </c>
      <c r="P4" s="153" t="s">
        <v>1148</v>
      </c>
      <c r="Q4" s="152"/>
    </row>
    <row r="5" spans="1:17" ht="18.75">
      <c r="A5" s="190"/>
      <c r="B5" s="148"/>
      <c r="C5" s="140"/>
      <c r="D5" s="147">
        <v>41883</v>
      </c>
      <c r="E5" s="138" t="s">
        <v>1046</v>
      </c>
      <c r="F5" s="138" t="s">
        <v>1045</v>
      </c>
      <c r="G5" s="190"/>
      <c r="H5" s="140"/>
      <c r="I5" s="147">
        <v>41883</v>
      </c>
      <c r="J5" s="138" t="s">
        <v>1046</v>
      </c>
      <c r="K5" s="138" t="s">
        <v>1045</v>
      </c>
      <c r="L5" s="190"/>
      <c r="M5" s="140"/>
      <c r="N5" s="147">
        <v>41883</v>
      </c>
      <c r="O5" s="138" t="s">
        <v>1046</v>
      </c>
      <c r="P5" s="138" t="s">
        <v>1045</v>
      </c>
      <c r="Q5" s="132"/>
    </row>
    <row r="6" spans="1:17" ht="18.75">
      <c r="A6" s="190"/>
      <c r="B6" s="192" t="s">
        <v>1044</v>
      </c>
      <c r="C6" s="140"/>
      <c r="D6" s="146" t="s">
        <v>1255</v>
      </c>
      <c r="E6" s="143" t="s">
        <v>1254</v>
      </c>
      <c r="F6" s="142" t="s">
        <v>1253</v>
      </c>
      <c r="G6" s="190"/>
      <c r="H6" s="140"/>
      <c r="I6" s="144">
        <v>41974</v>
      </c>
      <c r="J6" s="143" t="s">
        <v>1195</v>
      </c>
      <c r="K6" s="142"/>
      <c r="L6" s="190"/>
      <c r="M6" s="140"/>
      <c r="N6" s="144">
        <v>42278</v>
      </c>
      <c r="O6" s="143" t="s">
        <v>1376</v>
      </c>
      <c r="P6" s="142"/>
      <c r="Q6" s="132"/>
    </row>
    <row r="7" spans="1:17" ht="90">
      <c r="A7" s="190"/>
      <c r="B7" s="192"/>
      <c r="C7" s="140"/>
      <c r="D7" s="139">
        <v>42095</v>
      </c>
      <c r="E7" s="141" t="s">
        <v>1364</v>
      </c>
      <c r="F7" s="137" t="s">
        <v>1375</v>
      </c>
      <c r="G7" s="190"/>
      <c r="H7" s="140"/>
      <c r="I7" s="139">
        <v>42095</v>
      </c>
      <c r="J7" s="141" t="s">
        <v>1362</v>
      </c>
      <c r="K7" s="137" t="s">
        <v>1361</v>
      </c>
      <c r="L7" s="190"/>
      <c r="M7" s="140"/>
      <c r="N7" s="139">
        <v>42064</v>
      </c>
      <c r="O7" s="141" t="s">
        <v>1360</v>
      </c>
      <c r="P7" s="137" t="s">
        <v>1359</v>
      </c>
      <c r="Q7" s="132"/>
    </row>
    <row r="8" spans="1:17" ht="18.75">
      <c r="A8" s="190"/>
      <c r="B8" s="192"/>
      <c r="C8" s="140"/>
      <c r="D8" s="139">
        <v>42125</v>
      </c>
      <c r="E8" s="138" t="s">
        <v>1307</v>
      </c>
      <c r="F8" s="137"/>
      <c r="G8" s="190"/>
      <c r="H8" s="140"/>
      <c r="I8" s="139"/>
      <c r="J8" s="138"/>
      <c r="K8" s="137"/>
      <c r="L8" s="190"/>
      <c r="M8" s="140"/>
      <c r="N8" s="158"/>
      <c r="O8" s="138"/>
      <c r="P8" s="137"/>
      <c r="Q8" s="132"/>
    </row>
    <row r="9" spans="1:17" ht="150">
      <c r="A9" s="190"/>
      <c r="B9" s="192"/>
      <c r="C9" s="140"/>
      <c r="D9" s="135">
        <v>42156</v>
      </c>
      <c r="E9" s="134" t="s">
        <v>1358</v>
      </c>
      <c r="F9" s="133" t="s">
        <v>1374</v>
      </c>
      <c r="G9" s="190"/>
      <c r="H9" s="140"/>
      <c r="I9" s="135">
        <v>42186</v>
      </c>
      <c r="J9" s="134" t="s">
        <v>1337</v>
      </c>
      <c r="K9" s="133" t="s">
        <v>1336</v>
      </c>
      <c r="L9" s="190"/>
      <c r="M9" s="140"/>
      <c r="N9" s="135">
        <v>42156</v>
      </c>
      <c r="O9" s="134" t="s">
        <v>1337</v>
      </c>
      <c r="P9" s="133" t="s">
        <v>1357</v>
      </c>
      <c r="Q9" s="132"/>
    </row>
    <row r="10" spans="1:17" ht="18.75">
      <c r="A10" s="190"/>
      <c r="B10" s="192" t="s">
        <v>1034</v>
      </c>
      <c r="C10" s="140"/>
      <c r="D10" s="144">
        <v>42278</v>
      </c>
      <c r="E10" s="143" t="s">
        <v>1373</v>
      </c>
      <c r="F10" s="142"/>
      <c r="G10" s="190"/>
      <c r="H10" s="140"/>
      <c r="I10" s="144">
        <v>42278</v>
      </c>
      <c r="J10" s="143" t="s">
        <v>1372</v>
      </c>
      <c r="K10" s="142"/>
      <c r="L10" s="190"/>
      <c r="M10" s="140"/>
      <c r="N10" s="144">
        <v>42278</v>
      </c>
      <c r="O10" s="143" t="s">
        <v>1335</v>
      </c>
      <c r="P10" s="142"/>
      <c r="Q10" s="132"/>
    </row>
    <row r="11" spans="1:17" ht="90">
      <c r="A11" s="190"/>
      <c r="B11" s="192"/>
      <c r="C11" s="140"/>
      <c r="D11" s="139">
        <v>42309</v>
      </c>
      <c r="E11" s="141" t="s">
        <v>1305</v>
      </c>
      <c r="F11" s="137" t="s">
        <v>1304</v>
      </c>
      <c r="G11" s="190"/>
      <c r="H11" s="140"/>
      <c r="I11" s="139">
        <v>42430</v>
      </c>
      <c r="J11" s="141" t="s">
        <v>1303</v>
      </c>
      <c r="K11" s="137" t="s">
        <v>1354</v>
      </c>
      <c r="L11" s="190"/>
      <c r="M11" s="140"/>
      <c r="N11" s="139">
        <v>42309</v>
      </c>
      <c r="O11" s="141" t="s">
        <v>1334</v>
      </c>
      <c r="P11" s="137" t="s">
        <v>1333</v>
      </c>
      <c r="Q11" s="132"/>
    </row>
    <row r="12" spans="1:17" ht="18.75">
      <c r="A12" s="190"/>
      <c r="B12" s="192"/>
      <c r="C12" s="140"/>
      <c r="D12" s="158"/>
      <c r="E12" s="138" t="s">
        <v>1172</v>
      </c>
      <c r="F12" s="137"/>
      <c r="G12" s="190"/>
      <c r="H12" s="140"/>
      <c r="I12" s="157"/>
      <c r="J12" s="138"/>
      <c r="K12" s="137"/>
      <c r="L12" s="190"/>
      <c r="M12" s="140"/>
      <c r="N12" s="139">
        <v>42614</v>
      </c>
      <c r="O12" s="138" t="s">
        <v>1332</v>
      </c>
      <c r="P12" s="137"/>
      <c r="Q12" s="132"/>
    </row>
    <row r="13" spans="1:17" ht="90">
      <c r="A13" s="190"/>
      <c r="B13" s="192"/>
      <c r="C13" s="140"/>
      <c r="D13" s="135">
        <v>42552</v>
      </c>
      <c r="E13" s="134" t="s">
        <v>1268</v>
      </c>
      <c r="F13" s="133" t="s">
        <v>1267</v>
      </c>
      <c r="G13" s="190"/>
      <c r="H13" s="140"/>
      <c r="I13" s="135">
        <v>42522</v>
      </c>
      <c r="J13" s="134" t="s">
        <v>1371</v>
      </c>
      <c r="K13" s="133" t="s">
        <v>1370</v>
      </c>
      <c r="L13" s="190"/>
      <c r="M13" s="140"/>
      <c r="N13" s="135">
        <v>42614</v>
      </c>
      <c r="O13" s="134" t="s">
        <v>1327</v>
      </c>
      <c r="P13" s="133" t="s">
        <v>1326</v>
      </c>
      <c r="Q13" s="132"/>
    </row>
    <row r="14" spans="1:17" ht="18.75">
      <c r="A14" s="190"/>
      <c r="B14" s="192" t="s">
        <v>1021</v>
      </c>
      <c r="C14" s="140"/>
      <c r="D14" s="144">
        <v>42705</v>
      </c>
      <c r="E14" s="143" t="s">
        <v>1164</v>
      </c>
      <c r="F14" s="142"/>
      <c r="G14" s="190"/>
      <c r="H14" s="140"/>
      <c r="I14" s="144">
        <v>42705</v>
      </c>
      <c r="J14" s="143" t="s">
        <v>1164</v>
      </c>
      <c r="K14" s="142"/>
      <c r="L14" s="190"/>
      <c r="M14" s="140"/>
      <c r="N14" s="144">
        <v>42705</v>
      </c>
      <c r="O14" s="143" t="s">
        <v>1164</v>
      </c>
      <c r="P14" s="142"/>
      <c r="Q14" s="132"/>
    </row>
    <row r="15" spans="1:17" ht="73.5" customHeight="1">
      <c r="A15" s="190"/>
      <c r="B15" s="192"/>
      <c r="C15" s="136">
        <v>6</v>
      </c>
      <c r="D15" s="139">
        <v>42826</v>
      </c>
      <c r="E15" s="141" t="s">
        <v>1369</v>
      </c>
      <c r="F15" s="137" t="s">
        <v>1368</v>
      </c>
      <c r="G15" s="190"/>
      <c r="H15" s="136">
        <v>8</v>
      </c>
      <c r="I15" s="139">
        <v>42826</v>
      </c>
      <c r="J15" s="141" t="s">
        <v>637</v>
      </c>
      <c r="K15" s="137" t="s">
        <v>1367</v>
      </c>
      <c r="L15" s="190"/>
      <c r="M15" s="136">
        <v>7</v>
      </c>
      <c r="N15" s="139">
        <v>42795</v>
      </c>
      <c r="O15" s="141" t="s">
        <v>1366</v>
      </c>
      <c r="P15" s="137" t="s">
        <v>1365</v>
      </c>
      <c r="Q15" s="132"/>
    </row>
    <row r="16" spans="1:17" ht="18.75">
      <c r="A16" s="190"/>
      <c r="B16" s="192"/>
      <c r="C16" s="140"/>
      <c r="D16" s="158"/>
      <c r="E16" s="138"/>
      <c r="F16" s="137"/>
      <c r="G16" s="190"/>
      <c r="H16" s="140"/>
      <c r="I16" s="158"/>
      <c r="J16" s="138"/>
      <c r="K16" s="137"/>
      <c r="L16" s="190"/>
      <c r="M16" s="140"/>
      <c r="N16" s="158"/>
      <c r="O16" s="138"/>
      <c r="P16" s="137"/>
      <c r="Q16" s="132"/>
    </row>
    <row r="17" spans="1:17" ht="73.5" customHeight="1">
      <c r="A17" s="190"/>
      <c r="B17" s="192"/>
      <c r="C17" s="136">
        <v>6</v>
      </c>
      <c r="D17" s="135" t="s">
        <v>1157</v>
      </c>
      <c r="E17" s="134" t="s">
        <v>1317</v>
      </c>
      <c r="F17" s="133" t="s">
        <v>1346</v>
      </c>
      <c r="G17" s="190"/>
      <c r="H17" s="136">
        <v>15</v>
      </c>
      <c r="I17" s="135">
        <v>42948</v>
      </c>
      <c r="J17" s="134" t="s">
        <v>909</v>
      </c>
      <c r="K17" s="133" t="s">
        <v>1345</v>
      </c>
      <c r="L17" s="190"/>
      <c r="M17" s="136">
        <v>6</v>
      </c>
      <c r="N17" s="135">
        <v>42917</v>
      </c>
      <c r="O17" s="134" t="s">
        <v>1344</v>
      </c>
      <c r="P17" s="133" t="s">
        <v>1343</v>
      </c>
      <c r="Q17" s="132"/>
    </row>
    <row r="18" spans="1:17" ht="18.75">
      <c r="A18" s="132"/>
      <c r="B18" s="132"/>
      <c r="C18" s="140"/>
      <c r="D18" s="132"/>
      <c r="E18" s="132"/>
      <c r="F18" s="132"/>
      <c r="G18" s="132"/>
      <c r="H18" s="140"/>
      <c r="I18" s="132"/>
      <c r="J18" s="132"/>
      <c r="K18" s="132"/>
      <c r="L18" s="132"/>
      <c r="M18" s="140"/>
      <c r="N18" s="132"/>
      <c r="O18" s="132"/>
      <c r="P18" s="132"/>
      <c r="Q18" s="132"/>
    </row>
    <row r="19" spans="1:17" ht="18.75">
      <c r="A19" s="190">
        <v>2</v>
      </c>
      <c r="B19" s="148"/>
      <c r="C19" s="140"/>
      <c r="D19" s="147">
        <v>41883</v>
      </c>
      <c r="E19" s="138" t="s">
        <v>1046</v>
      </c>
      <c r="F19" s="138" t="s">
        <v>1045</v>
      </c>
      <c r="G19" s="190">
        <v>2</v>
      </c>
      <c r="H19" s="140"/>
      <c r="I19" s="147">
        <v>41883</v>
      </c>
      <c r="J19" s="138" t="s">
        <v>1046</v>
      </c>
      <c r="K19" s="138" t="s">
        <v>1045</v>
      </c>
      <c r="L19" s="190">
        <v>2</v>
      </c>
      <c r="M19" s="140"/>
      <c r="N19" s="147">
        <v>41883</v>
      </c>
      <c r="O19" s="138" t="s">
        <v>1046</v>
      </c>
      <c r="P19" s="138" t="s">
        <v>1045</v>
      </c>
      <c r="Q19" s="132"/>
    </row>
    <row r="20" spans="1:17" ht="18.75">
      <c r="A20" s="190"/>
      <c r="B20" s="192" t="s">
        <v>1044</v>
      </c>
      <c r="C20" s="140"/>
      <c r="D20" s="146" t="s">
        <v>1255</v>
      </c>
      <c r="E20" s="143" t="s">
        <v>1254</v>
      </c>
      <c r="F20" s="142" t="s">
        <v>1253</v>
      </c>
      <c r="G20" s="190"/>
      <c r="H20" s="140"/>
      <c r="I20" s="144">
        <v>41974</v>
      </c>
      <c r="J20" s="143" t="s">
        <v>1195</v>
      </c>
      <c r="K20" s="142"/>
      <c r="L20" s="190"/>
      <c r="M20" s="140"/>
      <c r="N20" s="144">
        <v>41974</v>
      </c>
      <c r="O20" s="143" t="s">
        <v>1194</v>
      </c>
      <c r="P20" s="142"/>
      <c r="Q20" s="132"/>
    </row>
    <row r="21" spans="1:17" ht="90">
      <c r="A21" s="190"/>
      <c r="B21" s="192"/>
      <c r="C21" s="132"/>
      <c r="D21" s="139">
        <v>42095</v>
      </c>
      <c r="E21" s="141" t="s">
        <v>1364</v>
      </c>
      <c r="F21" s="137" t="s">
        <v>1363</v>
      </c>
      <c r="G21" s="190"/>
      <c r="H21" s="132"/>
      <c r="I21" s="139">
        <v>42095</v>
      </c>
      <c r="J21" s="141" t="s">
        <v>1362</v>
      </c>
      <c r="K21" s="137" t="s">
        <v>1361</v>
      </c>
      <c r="L21" s="190"/>
      <c r="M21" s="132"/>
      <c r="N21" s="139">
        <v>42064</v>
      </c>
      <c r="O21" s="141" t="s">
        <v>1360</v>
      </c>
      <c r="P21" s="137" t="s">
        <v>1359</v>
      </c>
      <c r="Q21" s="132"/>
    </row>
    <row r="22" spans="1:17" ht="18.75">
      <c r="A22" s="190"/>
      <c r="B22" s="192"/>
      <c r="C22" s="140"/>
      <c r="D22" s="139">
        <v>42125</v>
      </c>
      <c r="E22" s="138" t="s">
        <v>1340</v>
      </c>
      <c r="F22" s="137"/>
      <c r="G22" s="190"/>
      <c r="H22" s="140"/>
      <c r="I22" s="158"/>
      <c r="J22" s="138"/>
      <c r="K22" s="137"/>
      <c r="L22" s="190"/>
      <c r="M22" s="140"/>
      <c r="N22" s="158"/>
      <c r="O22" s="138"/>
      <c r="P22" s="137"/>
      <c r="Q22" s="132"/>
    </row>
    <row r="23" spans="1:17" ht="120">
      <c r="A23" s="190"/>
      <c r="B23" s="192"/>
      <c r="C23" s="140"/>
      <c r="D23" s="135">
        <v>42156</v>
      </c>
      <c r="E23" s="134" t="s">
        <v>1358</v>
      </c>
      <c r="F23" s="133" t="s">
        <v>1338</v>
      </c>
      <c r="G23" s="190"/>
      <c r="H23" s="140"/>
      <c r="I23" s="135">
        <v>42186</v>
      </c>
      <c r="J23" s="134" t="s">
        <v>1337</v>
      </c>
      <c r="K23" s="133" t="s">
        <v>1336</v>
      </c>
      <c r="L23" s="190"/>
      <c r="M23" s="140"/>
      <c r="N23" s="135">
        <v>42156</v>
      </c>
      <c r="O23" s="134" t="s">
        <v>1337</v>
      </c>
      <c r="P23" s="133" t="s">
        <v>1357</v>
      </c>
      <c r="Q23" s="132"/>
    </row>
    <row r="24" spans="1:17" ht="18.75" customHeight="1">
      <c r="A24" s="190"/>
      <c r="B24" s="192" t="s">
        <v>1034</v>
      </c>
      <c r="C24" s="140"/>
      <c r="D24" s="144">
        <v>42278</v>
      </c>
      <c r="E24" s="143" t="s">
        <v>1307</v>
      </c>
      <c r="F24" s="142"/>
      <c r="G24" s="190"/>
      <c r="H24" s="140"/>
      <c r="I24" s="144">
        <v>42278</v>
      </c>
      <c r="J24" s="143" t="s">
        <v>1356</v>
      </c>
      <c r="K24" s="142"/>
      <c r="L24" s="190"/>
      <c r="M24" s="140"/>
      <c r="N24" s="144">
        <v>42278</v>
      </c>
      <c r="O24" s="143" t="s">
        <v>1335</v>
      </c>
      <c r="P24" s="142"/>
      <c r="Q24" s="132"/>
    </row>
    <row r="25" spans="1:17" ht="18.75">
      <c r="A25" s="190"/>
      <c r="B25" s="192"/>
      <c r="C25" s="140"/>
      <c r="D25" s="139"/>
      <c r="E25" s="138"/>
      <c r="F25" s="137"/>
      <c r="G25" s="190"/>
      <c r="H25" s="140"/>
      <c r="I25" s="139">
        <v>42339</v>
      </c>
      <c r="J25" s="138" t="s">
        <v>1355</v>
      </c>
      <c r="K25" s="137"/>
      <c r="L25" s="190"/>
      <c r="M25" s="140"/>
      <c r="N25" s="139"/>
      <c r="O25" s="138"/>
      <c r="P25" s="137"/>
      <c r="Q25" s="132"/>
    </row>
    <row r="26" spans="1:17" ht="90">
      <c r="A26" s="190"/>
      <c r="B26" s="192"/>
      <c r="C26" s="140"/>
      <c r="D26" s="139">
        <v>42339</v>
      </c>
      <c r="E26" s="141" t="s">
        <v>1305</v>
      </c>
      <c r="F26" s="137" t="s">
        <v>1304</v>
      </c>
      <c r="G26" s="190"/>
      <c r="H26" s="140"/>
      <c r="I26" s="139">
        <v>42430</v>
      </c>
      <c r="J26" s="141" t="s">
        <v>1303</v>
      </c>
      <c r="K26" s="137" t="s">
        <v>1354</v>
      </c>
      <c r="L26" s="190"/>
      <c r="M26" s="140"/>
      <c r="N26" s="139">
        <v>42309</v>
      </c>
      <c r="O26" s="141" t="s">
        <v>1334</v>
      </c>
      <c r="P26" s="137" t="s">
        <v>1333</v>
      </c>
      <c r="Q26" s="132"/>
    </row>
    <row r="27" spans="1:17" ht="18.75">
      <c r="A27" s="190"/>
      <c r="B27" s="192"/>
      <c r="C27" s="140"/>
      <c r="D27" s="139">
        <v>42552</v>
      </c>
      <c r="E27" s="138" t="s">
        <v>1172</v>
      </c>
      <c r="F27" s="137"/>
      <c r="G27" s="190"/>
      <c r="H27" s="140"/>
      <c r="I27" s="158"/>
      <c r="J27" s="138"/>
      <c r="K27" s="137"/>
      <c r="L27" s="190"/>
      <c r="M27" s="140"/>
      <c r="N27" s="139">
        <v>42614</v>
      </c>
      <c r="O27" s="138" t="s">
        <v>1332</v>
      </c>
      <c r="P27" s="137"/>
      <c r="Q27" s="132"/>
    </row>
    <row r="28" spans="1:17" ht="45">
      <c r="A28" s="190"/>
      <c r="B28" s="192"/>
      <c r="C28" s="140"/>
      <c r="D28" s="135">
        <v>42552</v>
      </c>
      <c r="E28" s="134" t="s">
        <v>1353</v>
      </c>
      <c r="F28" s="133" t="s">
        <v>1352</v>
      </c>
      <c r="G28" s="190"/>
      <c r="H28" s="140"/>
      <c r="I28" s="135">
        <v>42522</v>
      </c>
      <c r="J28" s="134" t="s">
        <v>1351</v>
      </c>
      <c r="K28" s="133" t="s">
        <v>1350</v>
      </c>
      <c r="L28" s="190"/>
      <c r="M28" s="140"/>
      <c r="N28" s="135">
        <v>42614</v>
      </c>
      <c r="O28" s="134" t="s">
        <v>1327</v>
      </c>
      <c r="P28" s="133" t="s">
        <v>1326</v>
      </c>
      <c r="Q28" s="132"/>
    </row>
    <row r="29" spans="1:17" ht="18.75">
      <c r="A29" s="190"/>
      <c r="B29" s="192" t="s">
        <v>1021</v>
      </c>
      <c r="C29" s="140"/>
      <c r="D29" s="144">
        <v>42705</v>
      </c>
      <c r="E29" s="143" t="s">
        <v>1164</v>
      </c>
      <c r="F29" s="142"/>
      <c r="G29" s="190"/>
      <c r="H29" s="140"/>
      <c r="I29" s="144">
        <v>42705</v>
      </c>
      <c r="J29" s="143" t="s">
        <v>1164</v>
      </c>
      <c r="K29" s="142"/>
      <c r="L29" s="190"/>
      <c r="M29" s="140"/>
      <c r="N29" s="144">
        <v>42705</v>
      </c>
      <c r="O29" s="143" t="s">
        <v>1164</v>
      </c>
      <c r="P29" s="142"/>
      <c r="Q29" s="132"/>
    </row>
    <row r="30" spans="1:17" ht="87" customHeight="1">
      <c r="A30" s="190"/>
      <c r="B30" s="192"/>
      <c r="C30" s="136">
        <f>50-0.3*50</f>
        <v>35</v>
      </c>
      <c r="D30" s="139">
        <v>42856</v>
      </c>
      <c r="E30" s="141" t="s">
        <v>627</v>
      </c>
      <c r="F30" s="137" t="s">
        <v>1349</v>
      </c>
      <c r="G30" s="190"/>
      <c r="H30" s="136">
        <v>10</v>
      </c>
      <c r="I30" s="139">
        <v>42826</v>
      </c>
      <c r="J30" s="141" t="s">
        <v>1004</v>
      </c>
      <c r="K30" s="137" t="s">
        <v>1348</v>
      </c>
      <c r="L30" s="190"/>
      <c r="M30" s="136">
        <v>18</v>
      </c>
      <c r="N30" s="139">
        <v>42795</v>
      </c>
      <c r="O30" s="141" t="s">
        <v>917</v>
      </c>
      <c r="P30" s="137" t="s">
        <v>1347</v>
      </c>
      <c r="Q30" s="132"/>
    </row>
    <row r="31" spans="1:17" ht="18.75">
      <c r="A31" s="190"/>
      <c r="B31" s="192"/>
      <c r="C31" s="140"/>
      <c r="D31" s="158"/>
      <c r="E31" s="138"/>
      <c r="F31" s="137"/>
      <c r="G31" s="190"/>
      <c r="H31" s="140"/>
      <c r="I31" s="158"/>
      <c r="J31" s="138"/>
      <c r="K31" s="137"/>
      <c r="L31" s="190"/>
      <c r="M31" s="140"/>
      <c r="N31" s="158"/>
      <c r="O31" s="138"/>
      <c r="P31" s="137"/>
      <c r="Q31" s="132"/>
    </row>
    <row r="32" spans="1:17" ht="70.5" customHeight="1">
      <c r="A32" s="190"/>
      <c r="B32" s="192"/>
      <c r="C32" s="136">
        <v>6</v>
      </c>
      <c r="D32" s="135" t="s">
        <v>1157</v>
      </c>
      <c r="E32" s="134" t="s">
        <v>1317</v>
      </c>
      <c r="F32" s="133" t="s">
        <v>1346</v>
      </c>
      <c r="G32" s="190"/>
      <c r="H32" s="136">
        <v>15</v>
      </c>
      <c r="I32" s="135">
        <v>42948</v>
      </c>
      <c r="J32" s="134" t="s">
        <v>909</v>
      </c>
      <c r="K32" s="133" t="s">
        <v>1345</v>
      </c>
      <c r="L32" s="190"/>
      <c r="M32" s="136">
        <v>6</v>
      </c>
      <c r="N32" s="135">
        <v>42917</v>
      </c>
      <c r="O32" s="134" t="s">
        <v>1344</v>
      </c>
      <c r="P32" s="133" t="s">
        <v>1343</v>
      </c>
      <c r="Q32" s="132"/>
    </row>
    <row r="33" spans="1:17" ht="18.75">
      <c r="A33" s="132"/>
      <c r="B33" s="132"/>
      <c r="C33" s="140"/>
      <c r="D33" s="132"/>
      <c r="E33" s="132"/>
      <c r="F33" s="132"/>
      <c r="G33" s="132"/>
      <c r="H33" s="140"/>
      <c r="I33" s="132"/>
      <c r="J33" s="132"/>
      <c r="K33" s="132"/>
      <c r="L33" s="132"/>
      <c r="M33" s="140"/>
      <c r="N33" s="132"/>
      <c r="O33" s="132"/>
      <c r="P33" s="132"/>
      <c r="Q33" s="132"/>
    </row>
    <row r="34" spans="1:17" ht="18.75">
      <c r="A34" s="190">
        <v>3</v>
      </c>
      <c r="B34" s="148"/>
      <c r="C34" s="140"/>
      <c r="D34" s="147">
        <v>41883</v>
      </c>
      <c r="E34" s="138" t="s">
        <v>1046</v>
      </c>
      <c r="F34" s="138" t="s">
        <v>1045</v>
      </c>
      <c r="G34" s="190">
        <v>3</v>
      </c>
      <c r="H34" s="140"/>
      <c r="I34" s="147">
        <v>41883</v>
      </c>
      <c r="J34" s="138" t="s">
        <v>1046</v>
      </c>
      <c r="K34" s="138" t="s">
        <v>1045</v>
      </c>
      <c r="L34" s="190">
        <v>3</v>
      </c>
      <c r="M34" s="140"/>
      <c r="N34" s="147">
        <v>41883</v>
      </c>
      <c r="O34" s="138" t="s">
        <v>1046</v>
      </c>
      <c r="P34" s="138" t="s">
        <v>1045</v>
      </c>
      <c r="Q34" s="132"/>
    </row>
    <row r="35" spans="1:17" ht="18.75">
      <c r="A35" s="190"/>
      <c r="B35" s="192" t="s">
        <v>1044</v>
      </c>
      <c r="C35" s="140"/>
      <c r="D35" s="146" t="s">
        <v>1255</v>
      </c>
      <c r="E35" s="143" t="s">
        <v>1254</v>
      </c>
      <c r="F35" s="142" t="s">
        <v>1253</v>
      </c>
      <c r="G35" s="190"/>
      <c r="H35" s="140"/>
      <c r="I35" s="144">
        <v>41974</v>
      </c>
      <c r="J35" s="143" t="s">
        <v>1195</v>
      </c>
      <c r="K35" s="142"/>
      <c r="L35" s="190"/>
      <c r="M35" s="140"/>
      <c r="N35" s="144">
        <v>41974</v>
      </c>
      <c r="O35" s="143" t="s">
        <v>1194</v>
      </c>
      <c r="P35" s="142"/>
      <c r="Q35" s="132"/>
    </row>
    <row r="36" spans="1:17" ht="90">
      <c r="A36" s="190"/>
      <c r="B36" s="192"/>
      <c r="C36" s="132"/>
      <c r="D36" s="139">
        <v>42064</v>
      </c>
      <c r="E36" s="141" t="s">
        <v>1193</v>
      </c>
      <c r="F36" s="137" t="s">
        <v>1312</v>
      </c>
      <c r="G36" s="190"/>
      <c r="H36" s="132"/>
      <c r="I36" s="139">
        <v>42095</v>
      </c>
      <c r="J36" s="141" t="s">
        <v>1311</v>
      </c>
      <c r="K36" s="137" t="s">
        <v>1310</v>
      </c>
      <c r="L36" s="190"/>
      <c r="M36" s="132"/>
      <c r="N36" s="139">
        <v>42064</v>
      </c>
      <c r="O36" s="141" t="s">
        <v>1342</v>
      </c>
      <c r="P36" s="137" t="s">
        <v>1341</v>
      </c>
      <c r="Q36" s="132"/>
    </row>
    <row r="37" spans="1:17" ht="18.75">
      <c r="A37" s="190"/>
      <c r="B37" s="192"/>
      <c r="C37" s="140"/>
      <c r="D37" s="139">
        <v>42125</v>
      </c>
      <c r="E37" s="138" t="s">
        <v>1340</v>
      </c>
      <c r="F37" s="137"/>
      <c r="G37" s="190"/>
      <c r="H37" s="140"/>
      <c r="I37" s="139">
        <v>42186</v>
      </c>
      <c r="J37" s="138" t="s">
        <v>1275</v>
      </c>
      <c r="K37" s="137"/>
      <c r="L37" s="190"/>
      <c r="M37" s="140"/>
      <c r="N37" s="139"/>
      <c r="O37" s="138"/>
      <c r="P37" s="137"/>
      <c r="Q37" s="132"/>
    </row>
    <row r="38" spans="1:17" ht="120">
      <c r="A38" s="190"/>
      <c r="B38" s="192"/>
      <c r="C38" s="140"/>
      <c r="D38" s="135">
        <v>42156</v>
      </c>
      <c r="E38" s="134" t="s">
        <v>1339</v>
      </c>
      <c r="F38" s="133" t="s">
        <v>1338</v>
      </c>
      <c r="G38" s="190"/>
      <c r="H38" s="140"/>
      <c r="I38" s="135">
        <v>42186</v>
      </c>
      <c r="J38" s="134" t="s">
        <v>1337</v>
      </c>
      <c r="K38" s="133" t="s">
        <v>1336</v>
      </c>
      <c r="L38" s="190"/>
      <c r="M38" s="140"/>
      <c r="N38" s="135"/>
      <c r="O38" s="156"/>
      <c r="P38" s="133"/>
      <c r="Q38" s="132"/>
    </row>
    <row r="39" spans="1:17" ht="18.75" customHeight="1">
      <c r="A39" s="190"/>
      <c r="B39" s="192" t="s">
        <v>1034</v>
      </c>
      <c r="C39" s="140"/>
      <c r="D39" s="144">
        <v>42278</v>
      </c>
      <c r="E39" s="143" t="s">
        <v>1307</v>
      </c>
      <c r="F39" s="142"/>
      <c r="G39" s="190"/>
      <c r="H39" s="140"/>
      <c r="I39" s="144">
        <v>42278</v>
      </c>
      <c r="J39" s="143" t="s">
        <v>1274</v>
      </c>
      <c r="K39" s="142"/>
      <c r="L39" s="190"/>
      <c r="M39" s="140"/>
      <c r="N39" s="144">
        <v>42278</v>
      </c>
      <c r="O39" s="143" t="s">
        <v>1335</v>
      </c>
      <c r="P39" s="142"/>
      <c r="Q39" s="132"/>
    </row>
    <row r="40" spans="1:17" ht="90">
      <c r="A40" s="190"/>
      <c r="B40" s="192"/>
      <c r="C40" s="140"/>
      <c r="D40" s="139">
        <v>42309</v>
      </c>
      <c r="E40" s="141" t="s">
        <v>1305</v>
      </c>
      <c r="F40" s="137" t="s">
        <v>1304</v>
      </c>
      <c r="G40" s="190"/>
      <c r="H40" s="140"/>
      <c r="I40" s="139">
        <v>42430</v>
      </c>
      <c r="J40" s="141" t="s">
        <v>1303</v>
      </c>
      <c r="K40" s="137" t="s">
        <v>1302</v>
      </c>
      <c r="L40" s="190"/>
      <c r="M40" s="140"/>
      <c r="N40" s="139">
        <v>42309</v>
      </c>
      <c r="O40" s="141" t="s">
        <v>1334</v>
      </c>
      <c r="P40" s="137" t="s">
        <v>1333</v>
      </c>
      <c r="Q40" s="132"/>
    </row>
    <row r="41" spans="1:17" ht="18.75">
      <c r="A41" s="190"/>
      <c r="B41" s="192"/>
      <c r="C41" s="140"/>
      <c r="D41" s="139">
        <v>42552</v>
      </c>
      <c r="E41" s="138" t="s">
        <v>1172</v>
      </c>
      <c r="F41" s="137"/>
      <c r="G41" s="190"/>
      <c r="H41" s="140"/>
      <c r="I41" s="158"/>
      <c r="J41" s="138"/>
      <c r="K41" s="137"/>
      <c r="L41" s="190"/>
      <c r="M41" s="140"/>
      <c r="N41" s="139">
        <v>42614</v>
      </c>
      <c r="O41" s="138" t="s">
        <v>1332</v>
      </c>
      <c r="P41" s="137"/>
      <c r="Q41" s="132"/>
    </row>
    <row r="42" spans="1:17" ht="90">
      <c r="A42" s="190"/>
      <c r="B42" s="192"/>
      <c r="C42" s="140"/>
      <c r="D42" s="139">
        <v>42552</v>
      </c>
      <c r="E42" s="141" t="s">
        <v>1331</v>
      </c>
      <c r="F42" s="137" t="s">
        <v>1330</v>
      </c>
      <c r="G42" s="190"/>
      <c r="H42" s="140"/>
      <c r="I42" s="139">
        <v>42491</v>
      </c>
      <c r="J42" s="141" t="s">
        <v>1329</v>
      </c>
      <c r="K42" s="137" t="s">
        <v>1328</v>
      </c>
      <c r="L42" s="190"/>
      <c r="M42" s="140"/>
      <c r="N42" s="139">
        <v>42614</v>
      </c>
      <c r="O42" s="141" t="s">
        <v>1327</v>
      </c>
      <c r="P42" s="137" t="s">
        <v>1326</v>
      </c>
      <c r="Q42" s="132"/>
    </row>
    <row r="43" spans="1:17" ht="18.75">
      <c r="A43" s="190"/>
      <c r="B43" s="192"/>
      <c r="C43" s="140"/>
      <c r="D43" s="158"/>
      <c r="E43" s="138"/>
      <c r="F43" s="137"/>
      <c r="G43" s="190"/>
      <c r="H43" s="140"/>
      <c r="I43" s="139">
        <v>42614</v>
      </c>
      <c r="J43" s="138" t="s">
        <v>1325</v>
      </c>
      <c r="K43" s="137"/>
      <c r="L43" s="190"/>
      <c r="M43" s="140"/>
      <c r="N43" s="158"/>
      <c r="O43" s="138"/>
      <c r="P43" s="137"/>
      <c r="Q43" s="132"/>
    </row>
    <row r="44" spans="1:17" ht="45">
      <c r="A44" s="190"/>
      <c r="B44" s="192"/>
      <c r="C44" s="140"/>
      <c r="D44" s="145"/>
      <c r="E44" s="156"/>
      <c r="F44" s="133"/>
      <c r="G44" s="190"/>
      <c r="H44" s="140"/>
      <c r="I44" s="135">
        <v>42614</v>
      </c>
      <c r="J44" s="134" t="s">
        <v>1324</v>
      </c>
      <c r="K44" s="133" t="s">
        <v>1323</v>
      </c>
      <c r="L44" s="190"/>
      <c r="M44" s="140"/>
      <c r="N44" s="145"/>
      <c r="O44" s="156"/>
      <c r="P44" s="133"/>
      <c r="Q44" s="132"/>
    </row>
    <row r="45" spans="1:17" ht="18.75">
      <c r="A45" s="190"/>
      <c r="B45" s="192" t="s">
        <v>1021</v>
      </c>
      <c r="C45" s="140"/>
      <c r="D45" s="144">
        <v>42705</v>
      </c>
      <c r="E45" s="143" t="s">
        <v>1164</v>
      </c>
      <c r="F45" s="142"/>
      <c r="G45" s="190"/>
      <c r="H45" s="140"/>
      <c r="I45" s="144">
        <v>42705</v>
      </c>
      <c r="J45" s="143" t="s">
        <v>1164</v>
      </c>
      <c r="K45" s="142"/>
      <c r="L45" s="190"/>
      <c r="M45" s="140"/>
      <c r="N45" s="144">
        <v>42705</v>
      </c>
      <c r="O45" s="143" t="s">
        <v>1164</v>
      </c>
      <c r="P45" s="142"/>
      <c r="Q45" s="132"/>
    </row>
    <row r="46" spans="1:17" ht="84" customHeight="1">
      <c r="A46" s="190"/>
      <c r="B46" s="192"/>
      <c r="C46" s="136">
        <v>5</v>
      </c>
      <c r="D46" s="139">
        <v>42856</v>
      </c>
      <c r="E46" s="141" t="s">
        <v>1322</v>
      </c>
      <c r="F46" s="137" t="s">
        <v>1321</v>
      </c>
      <c r="G46" s="190"/>
      <c r="H46" s="136">
        <v>4</v>
      </c>
      <c r="I46" s="139">
        <v>42856</v>
      </c>
      <c r="J46" s="141" t="s">
        <v>1320</v>
      </c>
      <c r="K46" s="137" t="s">
        <v>1319</v>
      </c>
      <c r="L46" s="190"/>
      <c r="M46" s="136">
        <v>9</v>
      </c>
      <c r="N46" s="139">
        <v>42856</v>
      </c>
      <c r="O46" s="141" t="s">
        <v>1286</v>
      </c>
      <c r="P46" s="137" t="s">
        <v>1318</v>
      </c>
      <c r="Q46" s="132"/>
    </row>
    <row r="47" spans="1:17" ht="18.75">
      <c r="A47" s="190"/>
      <c r="B47" s="192"/>
      <c r="C47" s="140"/>
      <c r="D47" s="158"/>
      <c r="E47" s="138"/>
      <c r="F47" s="137"/>
      <c r="G47" s="190"/>
      <c r="H47" s="140"/>
      <c r="I47" s="158"/>
      <c r="J47" s="138"/>
      <c r="K47" s="137"/>
      <c r="L47" s="190"/>
      <c r="M47" s="140"/>
      <c r="N47" s="158"/>
      <c r="O47" s="138"/>
      <c r="P47" s="137"/>
      <c r="Q47" s="132"/>
    </row>
    <row r="48" spans="1:17" ht="95.25" customHeight="1">
      <c r="A48" s="190"/>
      <c r="B48" s="192"/>
      <c r="C48" s="136">
        <v>6</v>
      </c>
      <c r="D48" s="135" t="s">
        <v>1157</v>
      </c>
      <c r="E48" s="134" t="s">
        <v>1317</v>
      </c>
      <c r="F48" s="133" t="s">
        <v>1284</v>
      </c>
      <c r="G48" s="190"/>
      <c r="H48" s="136">
        <v>12</v>
      </c>
      <c r="I48" s="135" t="s">
        <v>1157</v>
      </c>
      <c r="J48" s="134" t="s">
        <v>1316</v>
      </c>
      <c r="K48" s="133" t="s">
        <v>1315</v>
      </c>
      <c r="L48" s="190"/>
      <c r="M48" s="136">
        <v>9</v>
      </c>
      <c r="N48" s="135" t="s">
        <v>1157</v>
      </c>
      <c r="O48" s="134" t="s">
        <v>1314</v>
      </c>
      <c r="P48" s="133" t="s">
        <v>1313</v>
      </c>
      <c r="Q48" s="132"/>
    </row>
    <row r="49" spans="1:17" ht="18.75">
      <c r="A49" s="132"/>
      <c r="B49" s="132"/>
      <c r="C49" s="140"/>
      <c r="D49" s="132"/>
      <c r="E49" s="132"/>
      <c r="F49" s="132"/>
      <c r="G49" s="132"/>
      <c r="H49" s="140"/>
      <c r="I49" s="132"/>
      <c r="J49" s="132"/>
      <c r="K49" s="132"/>
      <c r="L49" s="132"/>
      <c r="M49" s="140"/>
      <c r="N49" s="132"/>
      <c r="O49" s="132"/>
      <c r="P49" s="132"/>
      <c r="Q49" s="132"/>
    </row>
    <row r="50" spans="1:17" ht="18.75">
      <c r="A50" s="190">
        <v>4</v>
      </c>
      <c r="B50" s="148"/>
      <c r="C50" s="140"/>
      <c r="D50" s="147">
        <v>41883</v>
      </c>
      <c r="E50" s="138" t="s">
        <v>1046</v>
      </c>
      <c r="F50" s="138" t="s">
        <v>1045</v>
      </c>
      <c r="G50" s="190">
        <v>4</v>
      </c>
      <c r="H50" s="140"/>
      <c r="I50" s="147">
        <v>41883</v>
      </c>
      <c r="J50" s="138" t="s">
        <v>1046</v>
      </c>
      <c r="K50" s="138" t="s">
        <v>1045</v>
      </c>
      <c r="L50" s="190">
        <v>4</v>
      </c>
      <c r="M50" s="140"/>
      <c r="N50" s="147">
        <v>41883</v>
      </c>
      <c r="O50" s="138" t="s">
        <v>1046</v>
      </c>
      <c r="P50" s="138" t="s">
        <v>1045</v>
      </c>
      <c r="Q50" s="132"/>
    </row>
    <row r="51" spans="1:17" ht="18.75" customHeight="1">
      <c r="A51" s="190"/>
      <c r="B51" s="192" t="s">
        <v>1044</v>
      </c>
      <c r="C51" s="140"/>
      <c r="D51" s="146" t="s">
        <v>1255</v>
      </c>
      <c r="E51" s="143" t="s">
        <v>1254</v>
      </c>
      <c r="F51" s="142" t="s">
        <v>1253</v>
      </c>
      <c r="G51" s="190"/>
      <c r="H51" s="140"/>
      <c r="I51" s="144">
        <v>41974</v>
      </c>
      <c r="J51" s="143" t="s">
        <v>1195</v>
      </c>
      <c r="K51" s="142"/>
      <c r="L51" s="190"/>
      <c r="M51" s="140"/>
      <c r="N51" s="144">
        <v>41974</v>
      </c>
      <c r="O51" s="143" t="s">
        <v>1194</v>
      </c>
      <c r="P51" s="142"/>
      <c r="Q51" s="132"/>
    </row>
    <row r="52" spans="1:17" ht="90">
      <c r="A52" s="190"/>
      <c r="B52" s="192"/>
      <c r="C52" s="140"/>
      <c r="D52" s="139">
        <v>42064</v>
      </c>
      <c r="E52" s="141" t="s">
        <v>1193</v>
      </c>
      <c r="F52" s="137" t="s">
        <v>1312</v>
      </c>
      <c r="G52" s="190"/>
      <c r="H52" s="140"/>
      <c r="I52" s="139">
        <v>42095</v>
      </c>
      <c r="J52" s="141" t="s">
        <v>1311</v>
      </c>
      <c r="K52" s="137" t="s">
        <v>1310</v>
      </c>
      <c r="L52" s="190"/>
      <c r="M52" s="140"/>
      <c r="N52" s="139">
        <v>42064</v>
      </c>
      <c r="O52" s="141" t="s">
        <v>1309</v>
      </c>
      <c r="P52" s="137" t="s">
        <v>1308</v>
      </c>
      <c r="Q52" s="132"/>
    </row>
    <row r="53" spans="1:17" ht="18.75">
      <c r="A53" s="190"/>
      <c r="B53" s="192"/>
      <c r="C53" s="140"/>
      <c r="D53" s="135">
        <v>42156</v>
      </c>
      <c r="E53" s="156" t="s">
        <v>1247</v>
      </c>
      <c r="F53" s="133"/>
      <c r="G53" s="190"/>
      <c r="H53" s="140"/>
      <c r="I53" s="135">
        <v>42186</v>
      </c>
      <c r="J53" s="156" t="s">
        <v>1275</v>
      </c>
      <c r="K53" s="133"/>
      <c r="L53" s="190"/>
      <c r="M53" s="140"/>
      <c r="N53" s="135">
        <v>42186</v>
      </c>
      <c r="O53" s="156" t="s">
        <v>1247</v>
      </c>
      <c r="P53" s="133"/>
      <c r="Q53" s="132"/>
    </row>
    <row r="54" spans="1:17" ht="18.75">
      <c r="A54" s="190"/>
      <c r="B54" s="192" t="s">
        <v>1034</v>
      </c>
      <c r="C54" s="140"/>
      <c r="D54" s="144">
        <v>42278</v>
      </c>
      <c r="E54" s="143" t="s">
        <v>1307</v>
      </c>
      <c r="F54" s="142"/>
      <c r="G54" s="190"/>
      <c r="H54" s="140"/>
      <c r="I54" s="144">
        <v>42278</v>
      </c>
      <c r="J54" s="143" t="s">
        <v>1274</v>
      </c>
      <c r="K54" s="142"/>
      <c r="L54" s="190"/>
      <c r="M54" s="140"/>
      <c r="N54" s="144">
        <v>42278</v>
      </c>
      <c r="O54" s="143" t="s">
        <v>1182</v>
      </c>
      <c r="P54" s="142"/>
      <c r="Q54" s="132"/>
    </row>
    <row r="55" spans="1:17" ht="18.75" customHeight="1">
      <c r="A55" s="190"/>
      <c r="B55" s="192"/>
      <c r="C55" s="140"/>
      <c r="D55" s="139"/>
      <c r="E55" s="138"/>
      <c r="F55" s="137"/>
      <c r="G55" s="190"/>
      <c r="H55" s="140"/>
      <c r="I55" s="139">
        <v>42005</v>
      </c>
      <c r="J55" s="138" t="s">
        <v>1306</v>
      </c>
      <c r="K55" s="137"/>
      <c r="L55" s="190"/>
      <c r="M55" s="140"/>
      <c r="N55" s="139">
        <v>42370</v>
      </c>
      <c r="O55" s="138" t="s">
        <v>1273</v>
      </c>
      <c r="P55" s="137"/>
      <c r="Q55" s="132"/>
    </row>
    <row r="56" spans="1:17" ht="90">
      <c r="A56" s="190"/>
      <c r="B56" s="192"/>
      <c r="C56" s="140"/>
      <c r="D56" s="139">
        <v>42309</v>
      </c>
      <c r="E56" s="141" t="s">
        <v>1305</v>
      </c>
      <c r="F56" s="137" t="s">
        <v>1304</v>
      </c>
      <c r="G56" s="190"/>
      <c r="H56" s="140"/>
      <c r="I56" s="139">
        <v>42430</v>
      </c>
      <c r="J56" s="141" t="s">
        <v>1303</v>
      </c>
      <c r="K56" s="137" t="s">
        <v>1302</v>
      </c>
      <c r="L56" s="190"/>
      <c r="M56" s="140"/>
      <c r="N56" s="139">
        <v>42370</v>
      </c>
      <c r="O56" s="141" t="s">
        <v>1301</v>
      </c>
      <c r="P56" s="137" t="s">
        <v>1300</v>
      </c>
      <c r="Q56" s="132"/>
    </row>
    <row r="57" spans="1:17" ht="18.75">
      <c r="A57" s="190"/>
      <c r="B57" s="192"/>
      <c r="C57" s="140"/>
      <c r="D57" s="139">
        <v>42552</v>
      </c>
      <c r="E57" s="138" t="s">
        <v>1172</v>
      </c>
      <c r="F57" s="137"/>
      <c r="G57" s="190"/>
      <c r="H57" s="140"/>
      <c r="I57" s="158"/>
      <c r="J57" s="138"/>
      <c r="K57" s="137"/>
      <c r="L57" s="190"/>
      <c r="M57" s="140"/>
      <c r="N57" s="158"/>
      <c r="O57" s="138"/>
      <c r="P57" s="137"/>
      <c r="Q57" s="132"/>
    </row>
    <row r="58" spans="1:17" ht="60">
      <c r="A58" s="190"/>
      <c r="B58" s="192"/>
      <c r="C58" s="140"/>
      <c r="D58" s="139">
        <v>42552</v>
      </c>
      <c r="E58" s="141" t="s">
        <v>1299</v>
      </c>
      <c r="F58" s="137" t="s">
        <v>1298</v>
      </c>
      <c r="G58" s="190"/>
      <c r="H58" s="140"/>
      <c r="I58" s="139">
        <v>42491</v>
      </c>
      <c r="J58" s="141" t="s">
        <v>1297</v>
      </c>
      <c r="K58" s="137" t="s">
        <v>1296</v>
      </c>
      <c r="L58" s="190"/>
      <c r="M58" s="140"/>
      <c r="N58" s="139">
        <v>42583</v>
      </c>
      <c r="O58" s="141" t="s">
        <v>1295</v>
      </c>
      <c r="P58" s="137" t="s">
        <v>1294</v>
      </c>
      <c r="Q58" s="132"/>
    </row>
    <row r="59" spans="1:17" ht="18.75">
      <c r="A59" s="190"/>
      <c r="B59" s="192"/>
      <c r="C59" s="140"/>
      <c r="D59" s="139"/>
      <c r="E59" s="141"/>
      <c r="F59" s="137"/>
      <c r="G59" s="190"/>
      <c r="H59" s="140"/>
      <c r="I59" s="139">
        <v>42614</v>
      </c>
      <c r="J59" s="138" t="s">
        <v>1293</v>
      </c>
      <c r="K59" s="137"/>
      <c r="L59" s="190"/>
      <c r="M59" s="140"/>
      <c r="N59" s="139"/>
      <c r="O59" s="138"/>
      <c r="P59" s="137"/>
      <c r="Q59" s="132"/>
    </row>
    <row r="60" spans="1:17" ht="45">
      <c r="A60" s="190"/>
      <c r="B60" s="192"/>
      <c r="C60" s="140"/>
      <c r="D60" s="145"/>
      <c r="E60" s="156"/>
      <c r="F60" s="133"/>
      <c r="G60" s="190"/>
      <c r="H60" s="140"/>
      <c r="I60" s="135">
        <v>42614</v>
      </c>
      <c r="J60" s="134" t="s">
        <v>1292</v>
      </c>
      <c r="K60" s="133" t="s">
        <v>1291</v>
      </c>
      <c r="L60" s="190"/>
      <c r="M60" s="140"/>
      <c r="N60" s="145"/>
      <c r="O60" s="156"/>
      <c r="P60" s="133"/>
      <c r="Q60" s="132"/>
    </row>
    <row r="61" spans="1:17" ht="18.75">
      <c r="A61" s="190"/>
      <c r="B61" s="192" t="s">
        <v>1021</v>
      </c>
      <c r="C61" s="140"/>
      <c r="D61" s="144">
        <v>42705</v>
      </c>
      <c r="E61" s="143" t="s">
        <v>1164</v>
      </c>
      <c r="F61" s="142"/>
      <c r="G61" s="190"/>
      <c r="H61" s="140"/>
      <c r="I61" s="144">
        <v>42705</v>
      </c>
      <c r="J61" s="143" t="s">
        <v>1164</v>
      </c>
      <c r="K61" s="142"/>
      <c r="L61" s="190"/>
      <c r="M61" s="140"/>
      <c r="N61" s="144">
        <v>42705</v>
      </c>
      <c r="O61" s="143" t="s">
        <v>1164</v>
      </c>
      <c r="P61" s="142"/>
      <c r="Q61" s="132"/>
    </row>
    <row r="62" spans="1:17" ht="66.75" customHeight="1">
      <c r="A62" s="190"/>
      <c r="B62" s="192"/>
      <c r="C62" s="136">
        <v>5</v>
      </c>
      <c r="D62" s="139">
        <v>42887</v>
      </c>
      <c r="E62" s="141" t="s">
        <v>1290</v>
      </c>
      <c r="F62" s="137" t="s">
        <v>1289</v>
      </c>
      <c r="G62" s="190"/>
      <c r="H62" s="136">
        <v>4</v>
      </c>
      <c r="I62" s="139">
        <v>42856</v>
      </c>
      <c r="J62" s="141" t="s">
        <v>1288</v>
      </c>
      <c r="K62" s="137" t="s">
        <v>1287</v>
      </c>
      <c r="L62" s="190"/>
      <c r="M62" s="136">
        <v>9</v>
      </c>
      <c r="N62" s="139">
        <v>42856</v>
      </c>
      <c r="O62" s="141" t="s">
        <v>1286</v>
      </c>
      <c r="P62" s="137" t="s">
        <v>1285</v>
      </c>
      <c r="Q62" s="132"/>
    </row>
    <row r="63" spans="1:17" ht="18.75">
      <c r="A63" s="190"/>
      <c r="B63" s="192"/>
      <c r="C63" s="140"/>
      <c r="D63" s="158"/>
      <c r="E63" s="138"/>
      <c r="F63" s="137"/>
      <c r="G63" s="190"/>
      <c r="H63" s="140"/>
      <c r="I63" s="158"/>
      <c r="J63" s="138"/>
      <c r="K63" s="137"/>
      <c r="L63" s="190"/>
      <c r="M63" s="140"/>
      <c r="N63" s="158"/>
      <c r="O63" s="138"/>
      <c r="P63" s="137"/>
      <c r="Q63" s="132"/>
    </row>
    <row r="64" spans="1:17" ht="76.5" customHeight="1">
      <c r="A64" s="190"/>
      <c r="B64" s="192"/>
      <c r="C64" s="136">
        <v>13</v>
      </c>
      <c r="D64" s="135" t="s">
        <v>1157</v>
      </c>
      <c r="E64" s="134" t="s">
        <v>372</v>
      </c>
      <c r="F64" s="133" t="s">
        <v>1284</v>
      </c>
      <c r="G64" s="190"/>
      <c r="H64" s="136">
        <v>3</v>
      </c>
      <c r="I64" s="135" t="s">
        <v>1157</v>
      </c>
      <c r="J64" s="134" t="s">
        <v>1283</v>
      </c>
      <c r="K64" s="133" t="s">
        <v>1282</v>
      </c>
      <c r="L64" s="190"/>
      <c r="M64" s="136">
        <v>5</v>
      </c>
      <c r="N64" s="135" t="s">
        <v>1157</v>
      </c>
      <c r="O64" s="134" t="s">
        <v>1281</v>
      </c>
      <c r="P64" s="133" t="s">
        <v>1280</v>
      </c>
      <c r="Q64" s="132"/>
    </row>
    <row r="65" spans="1:17" ht="18.75">
      <c r="A65" s="132"/>
      <c r="B65" s="132"/>
      <c r="C65" s="140"/>
      <c r="D65" s="132"/>
      <c r="E65" s="132"/>
      <c r="F65" s="132"/>
      <c r="G65" s="132"/>
      <c r="H65" s="140"/>
      <c r="I65" s="132"/>
      <c r="J65" s="132"/>
      <c r="K65" s="132"/>
      <c r="L65" s="132"/>
      <c r="M65" s="140"/>
      <c r="N65" s="132"/>
      <c r="O65" s="132"/>
      <c r="P65" s="132"/>
      <c r="Q65" s="132"/>
    </row>
    <row r="66" spans="1:17" ht="18.75">
      <c r="A66" s="190">
        <v>5</v>
      </c>
      <c r="B66" s="148"/>
      <c r="C66" s="140"/>
      <c r="D66" s="147">
        <v>41883</v>
      </c>
      <c r="E66" s="138" t="s">
        <v>1046</v>
      </c>
      <c r="F66" s="138" t="s">
        <v>1045</v>
      </c>
      <c r="G66" s="190">
        <v>5</v>
      </c>
      <c r="H66" s="140"/>
      <c r="I66" s="147">
        <v>41883</v>
      </c>
      <c r="J66" s="138" t="s">
        <v>1046</v>
      </c>
      <c r="K66" s="138" t="s">
        <v>1045</v>
      </c>
      <c r="L66" s="190">
        <v>5</v>
      </c>
      <c r="M66" s="140"/>
      <c r="N66" s="147">
        <v>41883</v>
      </c>
      <c r="O66" s="138" t="s">
        <v>1046</v>
      </c>
      <c r="P66" s="138" t="s">
        <v>1045</v>
      </c>
      <c r="Q66" s="132"/>
    </row>
    <row r="67" spans="1:17" ht="18.75" customHeight="1">
      <c r="A67" s="190"/>
      <c r="B67" s="192" t="s">
        <v>1044</v>
      </c>
      <c r="C67" s="140"/>
      <c r="D67" s="146" t="s">
        <v>1255</v>
      </c>
      <c r="E67" s="143" t="s">
        <v>1254</v>
      </c>
      <c r="F67" s="142" t="s">
        <v>1253</v>
      </c>
      <c r="G67" s="190"/>
      <c r="H67" s="140"/>
      <c r="I67" s="144">
        <v>41974</v>
      </c>
      <c r="J67" s="143" t="s">
        <v>1195</v>
      </c>
      <c r="K67" s="142"/>
      <c r="L67" s="190"/>
      <c r="M67" s="140"/>
      <c r="N67" s="144">
        <v>41974</v>
      </c>
      <c r="O67" s="143" t="s">
        <v>1194</v>
      </c>
      <c r="P67" s="142"/>
      <c r="Q67" s="132"/>
    </row>
    <row r="68" spans="1:17" ht="75">
      <c r="A68" s="190"/>
      <c r="B68" s="192"/>
      <c r="C68" s="140"/>
      <c r="D68" s="139">
        <v>42064</v>
      </c>
      <c r="E68" s="141" t="s">
        <v>1279</v>
      </c>
      <c r="F68" s="137" t="s">
        <v>1278</v>
      </c>
      <c r="G68" s="190"/>
      <c r="H68" s="140"/>
      <c r="I68" s="139">
        <v>42064</v>
      </c>
      <c r="J68" s="141" t="s">
        <v>1277</v>
      </c>
      <c r="K68" s="137" t="s">
        <v>1276</v>
      </c>
      <c r="L68" s="190"/>
      <c r="M68" s="140"/>
      <c r="N68" s="139">
        <v>42064</v>
      </c>
      <c r="O68" s="141" t="s">
        <v>1250</v>
      </c>
      <c r="P68" s="137" t="s">
        <v>1249</v>
      </c>
      <c r="Q68" s="132"/>
    </row>
    <row r="69" spans="1:17" ht="18.75">
      <c r="A69" s="190"/>
      <c r="B69" s="192"/>
      <c r="C69" s="140"/>
      <c r="D69" s="135">
        <v>42186</v>
      </c>
      <c r="E69" s="156" t="s">
        <v>1275</v>
      </c>
      <c r="F69" s="133"/>
      <c r="G69" s="190"/>
      <c r="H69" s="140"/>
      <c r="I69" s="135">
        <v>42156</v>
      </c>
      <c r="J69" s="156" t="s">
        <v>1248</v>
      </c>
      <c r="K69" s="133"/>
      <c r="L69" s="190"/>
      <c r="M69" s="140"/>
      <c r="N69" s="135">
        <v>42186</v>
      </c>
      <c r="O69" s="156" t="s">
        <v>1247</v>
      </c>
      <c r="P69" s="133"/>
      <c r="Q69" s="132"/>
    </row>
    <row r="70" spans="1:17" ht="18.75" customHeight="1">
      <c r="A70" s="190"/>
      <c r="B70" s="192" t="s">
        <v>1034</v>
      </c>
      <c r="C70" s="140"/>
      <c r="D70" s="144">
        <v>42278</v>
      </c>
      <c r="E70" s="143" t="s">
        <v>1216</v>
      </c>
      <c r="F70" s="142"/>
      <c r="G70" s="190"/>
      <c r="H70" s="140"/>
      <c r="I70" s="144">
        <v>42278</v>
      </c>
      <c r="J70" s="143" t="s">
        <v>1274</v>
      </c>
      <c r="K70" s="142"/>
      <c r="L70" s="190"/>
      <c r="M70" s="140"/>
      <c r="N70" s="144">
        <v>42278</v>
      </c>
      <c r="O70" s="143" t="s">
        <v>1182</v>
      </c>
      <c r="P70" s="142"/>
      <c r="Q70" s="132"/>
    </row>
    <row r="71" spans="1:17" ht="18.75" customHeight="1">
      <c r="A71" s="190"/>
      <c r="B71" s="192"/>
      <c r="C71" s="140"/>
      <c r="D71" s="139">
        <v>42309</v>
      </c>
      <c r="E71" s="138" t="s">
        <v>1183</v>
      </c>
      <c r="F71" s="137"/>
      <c r="G71" s="190"/>
      <c r="H71" s="140"/>
      <c r="I71" s="139">
        <v>42370</v>
      </c>
      <c r="J71" s="138" t="s">
        <v>1181</v>
      </c>
      <c r="K71" s="137"/>
      <c r="L71" s="190"/>
      <c r="M71" s="140"/>
      <c r="N71" s="139">
        <v>42370</v>
      </c>
      <c r="O71" s="138" t="s">
        <v>1273</v>
      </c>
      <c r="P71" s="137"/>
      <c r="Q71" s="132"/>
    </row>
    <row r="72" spans="1:17" ht="90">
      <c r="A72" s="190"/>
      <c r="B72" s="192"/>
      <c r="C72" s="140"/>
      <c r="D72" s="139">
        <v>42370</v>
      </c>
      <c r="E72" s="141" t="s">
        <v>1178</v>
      </c>
      <c r="F72" s="137" t="s">
        <v>1177</v>
      </c>
      <c r="G72" s="190"/>
      <c r="H72" s="140"/>
      <c r="I72" s="139">
        <v>42401</v>
      </c>
      <c r="J72" s="141" t="s">
        <v>1272</v>
      </c>
      <c r="K72" s="137" t="s">
        <v>1271</v>
      </c>
      <c r="L72" s="190"/>
      <c r="M72" s="140"/>
      <c r="N72" s="139">
        <v>42370</v>
      </c>
      <c r="O72" s="141" t="s">
        <v>1270</v>
      </c>
      <c r="P72" s="137" t="s">
        <v>1269</v>
      </c>
      <c r="Q72" s="132"/>
    </row>
    <row r="73" spans="1:17">
      <c r="A73" s="190"/>
      <c r="B73" s="192"/>
      <c r="C73" s="132"/>
      <c r="D73" s="139">
        <v>42552</v>
      </c>
      <c r="E73" s="138" t="s">
        <v>1172</v>
      </c>
      <c r="F73" s="137"/>
      <c r="G73" s="190"/>
      <c r="H73" s="132"/>
      <c r="I73" s="139"/>
      <c r="J73" s="138"/>
      <c r="K73" s="137"/>
      <c r="L73" s="190"/>
      <c r="M73" s="132"/>
      <c r="N73" s="139"/>
      <c r="O73" s="138"/>
      <c r="P73" s="137"/>
      <c r="Q73" s="132"/>
    </row>
    <row r="74" spans="1:17" ht="90">
      <c r="A74" s="190"/>
      <c r="B74" s="192"/>
      <c r="C74" s="140"/>
      <c r="D74" s="139">
        <v>42552</v>
      </c>
      <c r="E74" s="141" t="s">
        <v>1268</v>
      </c>
      <c r="F74" s="137" t="s">
        <v>1267</v>
      </c>
      <c r="G74" s="190"/>
      <c r="H74" s="140"/>
      <c r="I74" s="139">
        <v>42552</v>
      </c>
      <c r="J74" s="141" t="s">
        <v>1169</v>
      </c>
      <c r="K74" s="137" t="s">
        <v>1168</v>
      </c>
      <c r="L74" s="190"/>
      <c r="M74" s="140"/>
      <c r="N74" s="139">
        <v>42583</v>
      </c>
      <c r="O74" s="141" t="s">
        <v>1266</v>
      </c>
      <c r="P74" s="137" t="s">
        <v>1265</v>
      </c>
      <c r="Q74" s="132"/>
    </row>
    <row r="75" spans="1:17" ht="18.75">
      <c r="A75" s="190"/>
      <c r="B75" s="192"/>
      <c r="C75" s="140"/>
      <c r="D75" s="139"/>
      <c r="E75" s="138"/>
      <c r="F75" s="137"/>
      <c r="G75" s="190"/>
      <c r="H75" s="140"/>
      <c r="I75" s="139">
        <v>42614</v>
      </c>
      <c r="J75" s="138" t="s">
        <v>1167</v>
      </c>
      <c r="K75" s="137"/>
      <c r="L75" s="190"/>
      <c r="M75" s="140"/>
      <c r="N75" s="139"/>
      <c r="O75" s="138"/>
      <c r="P75" s="137"/>
      <c r="Q75" s="132"/>
    </row>
    <row r="76" spans="1:17" ht="45">
      <c r="A76" s="190"/>
      <c r="B76" s="192"/>
      <c r="C76" s="140"/>
      <c r="D76" s="135"/>
      <c r="E76" s="156"/>
      <c r="F76" s="133"/>
      <c r="G76" s="190"/>
      <c r="H76" s="140"/>
      <c r="I76" s="135">
        <v>42614</v>
      </c>
      <c r="J76" s="134" t="s">
        <v>1166</v>
      </c>
      <c r="K76" s="133" t="s">
        <v>1165</v>
      </c>
      <c r="L76" s="190"/>
      <c r="M76" s="140"/>
      <c r="N76" s="135"/>
      <c r="O76" s="156"/>
      <c r="P76" s="133"/>
      <c r="Q76" s="132"/>
    </row>
    <row r="77" spans="1:17" ht="18.75" customHeight="1">
      <c r="A77" s="190"/>
      <c r="B77" s="193" t="s">
        <v>1021</v>
      </c>
      <c r="C77" s="140"/>
      <c r="D77" s="144">
        <v>42705</v>
      </c>
      <c r="E77" s="143" t="s">
        <v>1164</v>
      </c>
      <c r="F77" s="142"/>
      <c r="G77" s="190"/>
      <c r="H77" s="140"/>
      <c r="I77" s="144">
        <v>42705</v>
      </c>
      <c r="J77" s="143" t="s">
        <v>1164</v>
      </c>
      <c r="K77" s="142"/>
      <c r="L77" s="190"/>
      <c r="M77" s="140"/>
      <c r="N77" s="144">
        <v>42705</v>
      </c>
      <c r="O77" s="143" t="s">
        <v>1164</v>
      </c>
      <c r="P77" s="142"/>
      <c r="Q77" s="132"/>
    </row>
    <row r="78" spans="1:17" ht="77.25" customHeight="1">
      <c r="A78" s="190"/>
      <c r="B78" s="194"/>
      <c r="C78" s="149">
        <f>20-0.3*20</f>
        <v>14</v>
      </c>
      <c r="D78" s="139">
        <v>42856</v>
      </c>
      <c r="E78" s="141" t="s">
        <v>669</v>
      </c>
      <c r="F78" s="137" t="s">
        <v>1264</v>
      </c>
      <c r="G78" s="190"/>
      <c r="H78" s="136">
        <v>11</v>
      </c>
      <c r="I78" s="139">
        <v>42795</v>
      </c>
      <c r="J78" s="141" t="s">
        <v>1236</v>
      </c>
      <c r="K78" s="137" t="s">
        <v>1235</v>
      </c>
      <c r="L78" s="190"/>
      <c r="M78" s="136">
        <f>354/4/10</f>
        <v>8.85</v>
      </c>
      <c r="N78" s="139">
        <v>42795</v>
      </c>
      <c r="O78" s="141" t="s">
        <v>1052</v>
      </c>
      <c r="P78" s="137" t="s">
        <v>1051</v>
      </c>
      <c r="Q78" s="132"/>
    </row>
    <row r="79" spans="1:17" ht="18.75">
      <c r="A79" s="190"/>
      <c r="B79" s="194"/>
      <c r="C79" s="140"/>
      <c r="D79" s="158"/>
      <c r="E79" s="138"/>
      <c r="F79" s="137"/>
      <c r="G79" s="190"/>
      <c r="H79" s="140"/>
      <c r="I79" s="158"/>
      <c r="J79" s="138"/>
      <c r="K79" s="137"/>
      <c r="L79" s="190"/>
      <c r="M79" s="140"/>
      <c r="N79" s="158"/>
      <c r="O79" s="138"/>
      <c r="P79" s="137"/>
      <c r="Q79" s="132"/>
    </row>
    <row r="80" spans="1:17" ht="72" customHeight="1">
      <c r="A80" s="190"/>
      <c r="B80" s="194"/>
      <c r="C80" s="149">
        <v>8</v>
      </c>
      <c r="D80" s="139">
        <v>42979</v>
      </c>
      <c r="E80" s="141" t="s">
        <v>1263</v>
      </c>
      <c r="F80" s="137" t="s">
        <v>1262</v>
      </c>
      <c r="G80" s="190"/>
      <c r="H80" s="136">
        <v>4</v>
      </c>
      <c r="I80" s="139">
        <v>42887</v>
      </c>
      <c r="J80" s="141" t="s">
        <v>1230</v>
      </c>
      <c r="K80" s="137" t="s">
        <v>1261</v>
      </c>
      <c r="L80" s="190"/>
      <c r="M80" s="136">
        <v>3</v>
      </c>
      <c r="N80" s="139">
        <v>42856</v>
      </c>
      <c r="O80" s="141" t="s">
        <v>146</v>
      </c>
      <c r="P80" s="137" t="s">
        <v>1260</v>
      </c>
      <c r="Q80" s="132"/>
    </row>
    <row r="81" spans="1:17" ht="18.75">
      <c r="A81" s="190"/>
      <c r="B81" s="194"/>
      <c r="C81" s="140"/>
      <c r="D81" s="158"/>
      <c r="E81" s="138"/>
      <c r="F81" s="137"/>
      <c r="G81" s="190"/>
      <c r="H81" s="140"/>
      <c r="I81" s="158"/>
      <c r="J81" s="138"/>
      <c r="K81" s="137"/>
      <c r="L81" s="190"/>
      <c r="M81" s="140"/>
      <c r="N81" s="158"/>
      <c r="O81" s="138"/>
      <c r="P81" s="137"/>
      <c r="Q81" s="132"/>
    </row>
    <row r="82" spans="1:17" ht="48.75" customHeight="1">
      <c r="A82" s="190"/>
      <c r="B82" s="195"/>
      <c r="C82" s="140"/>
      <c r="D82" s="145"/>
      <c r="E82" s="156"/>
      <c r="F82" s="133"/>
      <c r="G82" s="190"/>
      <c r="H82" s="136">
        <v>9</v>
      </c>
      <c r="I82" s="145" t="s">
        <v>1157</v>
      </c>
      <c r="J82" s="156" t="s">
        <v>1259</v>
      </c>
      <c r="K82" s="133" t="s">
        <v>1258</v>
      </c>
      <c r="L82" s="190"/>
      <c r="M82" s="136">
        <v>12</v>
      </c>
      <c r="N82" s="145" t="s">
        <v>1157</v>
      </c>
      <c r="O82" s="156" t="s">
        <v>1257</v>
      </c>
      <c r="P82" s="133" t="s">
        <v>1256</v>
      </c>
      <c r="Q82" s="132"/>
    </row>
    <row r="83" spans="1:17" ht="18.75">
      <c r="A83" s="132"/>
      <c r="B83" s="132"/>
      <c r="C83" s="140"/>
      <c r="D83" s="132"/>
      <c r="E83" s="132"/>
      <c r="F83" s="132"/>
      <c r="G83" s="132"/>
      <c r="H83" s="140"/>
      <c r="I83" s="132"/>
      <c r="J83" s="132"/>
      <c r="K83" s="132"/>
      <c r="L83" s="132"/>
      <c r="M83" s="140"/>
      <c r="N83" s="132"/>
      <c r="O83" s="132"/>
      <c r="P83" s="132"/>
      <c r="Q83" s="132"/>
    </row>
    <row r="84" spans="1:17" ht="18.75">
      <c r="A84" s="190">
        <v>6</v>
      </c>
      <c r="B84" s="148"/>
      <c r="C84" s="140"/>
      <c r="D84" s="147">
        <v>41883</v>
      </c>
      <c r="E84" s="138" t="s">
        <v>1046</v>
      </c>
      <c r="F84" s="138" t="s">
        <v>1045</v>
      </c>
      <c r="G84" s="190">
        <v>6</v>
      </c>
      <c r="H84" s="140"/>
      <c r="I84" s="147">
        <v>41883</v>
      </c>
      <c r="J84" s="138" t="s">
        <v>1046</v>
      </c>
      <c r="K84" s="138" t="s">
        <v>1045</v>
      </c>
      <c r="L84" s="190">
        <v>6</v>
      </c>
      <c r="M84" s="140"/>
      <c r="N84" s="147">
        <v>41883</v>
      </c>
      <c r="O84" s="138" t="s">
        <v>1046</v>
      </c>
      <c r="P84" s="138" t="s">
        <v>1045</v>
      </c>
      <c r="Q84" s="132"/>
    </row>
    <row r="85" spans="1:17" ht="18.75" customHeight="1">
      <c r="A85" s="190"/>
      <c r="B85" s="192" t="s">
        <v>1044</v>
      </c>
      <c r="C85" s="140"/>
      <c r="D85" s="146" t="s">
        <v>1255</v>
      </c>
      <c r="E85" s="143" t="s">
        <v>1254</v>
      </c>
      <c r="F85" s="142" t="s">
        <v>1253</v>
      </c>
      <c r="G85" s="190"/>
      <c r="H85" s="140"/>
      <c r="I85" s="144">
        <v>41974</v>
      </c>
      <c r="J85" s="143" t="s">
        <v>1195</v>
      </c>
      <c r="K85" s="142"/>
      <c r="L85" s="190"/>
      <c r="M85" s="140"/>
      <c r="N85" s="144">
        <v>41974</v>
      </c>
      <c r="O85" s="143" t="s">
        <v>1194</v>
      </c>
      <c r="P85" s="142"/>
      <c r="Q85" s="132"/>
    </row>
    <row r="86" spans="1:17" ht="75">
      <c r="A86" s="190"/>
      <c r="B86" s="192"/>
      <c r="C86" s="132"/>
      <c r="D86" s="139">
        <v>42095</v>
      </c>
      <c r="E86" s="141" t="s">
        <v>1222</v>
      </c>
      <c r="F86" s="137" t="s">
        <v>1221</v>
      </c>
      <c r="G86" s="190"/>
      <c r="H86" s="132"/>
      <c r="I86" s="139">
        <v>42064</v>
      </c>
      <c r="J86" s="141" t="s">
        <v>1252</v>
      </c>
      <c r="K86" s="137" t="s">
        <v>1251</v>
      </c>
      <c r="L86" s="190"/>
      <c r="M86" s="132"/>
      <c r="N86" s="139">
        <v>42064</v>
      </c>
      <c r="O86" s="141" t="s">
        <v>1250</v>
      </c>
      <c r="P86" s="137" t="s">
        <v>1249</v>
      </c>
      <c r="Q86" s="132"/>
    </row>
    <row r="87" spans="1:17" ht="39" customHeight="1">
      <c r="A87" s="190"/>
      <c r="B87" s="192"/>
      <c r="C87" s="140"/>
      <c r="D87" s="135">
        <v>42278</v>
      </c>
      <c r="E87" s="156" t="s">
        <v>1216</v>
      </c>
      <c r="F87" s="133"/>
      <c r="G87" s="190"/>
      <c r="H87" s="140"/>
      <c r="I87" s="135">
        <v>42156</v>
      </c>
      <c r="J87" s="156" t="s">
        <v>1248</v>
      </c>
      <c r="K87" s="133"/>
      <c r="L87" s="190"/>
      <c r="M87" s="140"/>
      <c r="N87" s="139">
        <v>42186</v>
      </c>
      <c r="O87" s="138" t="s">
        <v>1247</v>
      </c>
      <c r="P87" s="137"/>
      <c r="Q87" s="132"/>
    </row>
    <row r="88" spans="1:17" ht="18.75">
      <c r="A88" s="190"/>
      <c r="B88" s="192" t="s">
        <v>1034</v>
      </c>
      <c r="C88" s="140"/>
      <c r="D88" s="144">
        <v>42309</v>
      </c>
      <c r="E88" s="143" t="s">
        <v>1183</v>
      </c>
      <c r="F88" s="142"/>
      <c r="G88" s="190"/>
      <c r="H88" s="140"/>
      <c r="I88" s="144">
        <v>42278</v>
      </c>
      <c r="J88" s="143" t="s">
        <v>1182</v>
      </c>
      <c r="K88" s="142"/>
      <c r="L88" s="190"/>
      <c r="M88" s="140"/>
      <c r="N88" s="144">
        <v>42278</v>
      </c>
      <c r="O88" s="143" t="s">
        <v>1182</v>
      </c>
      <c r="P88" s="142"/>
      <c r="Q88" s="132"/>
    </row>
    <row r="89" spans="1:17" ht="18.75" customHeight="1">
      <c r="A89" s="190"/>
      <c r="B89" s="192"/>
      <c r="C89" s="140"/>
      <c r="D89" s="139"/>
      <c r="E89" s="138"/>
      <c r="F89" s="137"/>
      <c r="G89" s="190"/>
      <c r="H89" s="140"/>
      <c r="I89" s="139">
        <v>42370</v>
      </c>
      <c r="J89" s="138" t="s">
        <v>1181</v>
      </c>
      <c r="K89" s="137"/>
      <c r="L89" s="190"/>
      <c r="M89" s="140"/>
      <c r="N89" s="139"/>
      <c r="O89" s="138"/>
      <c r="P89" s="137"/>
      <c r="Q89" s="132"/>
    </row>
    <row r="90" spans="1:17" ht="18.75">
      <c r="A90" s="190"/>
      <c r="B90" s="192"/>
      <c r="C90" s="140"/>
      <c r="D90" s="139">
        <v>42552</v>
      </c>
      <c r="E90" s="138" t="s">
        <v>1172</v>
      </c>
      <c r="F90" s="137"/>
      <c r="G90" s="190"/>
      <c r="H90" s="140"/>
      <c r="I90" s="158"/>
      <c r="J90" s="138"/>
      <c r="K90" s="137"/>
      <c r="L90" s="190"/>
      <c r="M90" s="140"/>
      <c r="N90" s="158"/>
      <c r="O90" s="138"/>
      <c r="P90" s="137"/>
      <c r="Q90" s="132"/>
    </row>
    <row r="91" spans="1:17" ht="60">
      <c r="A91" s="190"/>
      <c r="B91" s="192"/>
      <c r="C91" s="140"/>
      <c r="D91" s="139">
        <v>42370</v>
      </c>
      <c r="E91" s="141" t="s">
        <v>1178</v>
      </c>
      <c r="F91" s="137" t="s">
        <v>1177</v>
      </c>
      <c r="G91" s="190"/>
      <c r="H91" s="140"/>
      <c r="I91" s="139">
        <v>42401</v>
      </c>
      <c r="J91" s="141" t="s">
        <v>1246</v>
      </c>
      <c r="K91" s="137" t="s">
        <v>1245</v>
      </c>
      <c r="L91" s="190"/>
      <c r="M91" s="140"/>
      <c r="N91" s="139">
        <v>42401</v>
      </c>
      <c r="O91" s="141" t="s">
        <v>1244</v>
      </c>
      <c r="P91" s="137" t="s">
        <v>1243</v>
      </c>
      <c r="Q91" s="132"/>
    </row>
    <row r="92" spans="1:17" ht="18.75">
      <c r="A92" s="190"/>
      <c r="B92" s="192"/>
      <c r="C92" s="140"/>
      <c r="D92" s="139">
        <v>42552</v>
      </c>
      <c r="E92" s="138" t="s">
        <v>1172</v>
      </c>
      <c r="F92" s="137"/>
      <c r="G92" s="190"/>
      <c r="H92" s="140"/>
      <c r="I92" s="158"/>
      <c r="J92" s="138"/>
      <c r="K92" s="137"/>
      <c r="L92" s="190"/>
      <c r="M92" s="140"/>
      <c r="N92" s="158"/>
      <c r="O92" s="138"/>
      <c r="P92" s="137"/>
      <c r="Q92" s="132"/>
    </row>
    <row r="93" spans="1:17" ht="90">
      <c r="A93" s="190"/>
      <c r="B93" s="192"/>
      <c r="C93" s="140"/>
      <c r="D93" s="139">
        <v>42552</v>
      </c>
      <c r="E93" s="141" t="s">
        <v>1242</v>
      </c>
      <c r="F93" s="137" t="s">
        <v>1241</v>
      </c>
      <c r="G93" s="190"/>
      <c r="H93" s="140"/>
      <c r="I93" s="139">
        <v>42552</v>
      </c>
      <c r="J93" s="141" t="s">
        <v>1169</v>
      </c>
      <c r="K93" s="137" t="s">
        <v>1168</v>
      </c>
      <c r="L93" s="190"/>
      <c r="M93" s="140"/>
      <c r="N93" s="139">
        <v>42583</v>
      </c>
      <c r="O93" s="141" t="s">
        <v>1240</v>
      </c>
      <c r="P93" s="137" t="s">
        <v>1239</v>
      </c>
      <c r="Q93" s="132"/>
    </row>
    <row r="94" spans="1:17" ht="18.75">
      <c r="A94" s="190"/>
      <c r="B94" s="192"/>
      <c r="C94" s="140"/>
      <c r="D94" s="139"/>
      <c r="E94" s="138"/>
      <c r="F94" s="137"/>
      <c r="G94" s="190"/>
      <c r="H94" s="140"/>
      <c r="I94" s="139">
        <v>42614</v>
      </c>
      <c r="J94" s="138" t="s">
        <v>1167</v>
      </c>
      <c r="K94" s="137"/>
      <c r="L94" s="190"/>
      <c r="M94" s="140"/>
      <c r="N94" s="139"/>
      <c r="O94" s="138"/>
      <c r="P94" s="137"/>
      <c r="Q94" s="132"/>
    </row>
    <row r="95" spans="1:17" ht="45">
      <c r="A95" s="190"/>
      <c r="B95" s="192"/>
      <c r="C95" s="140"/>
      <c r="D95" s="135"/>
      <c r="E95" s="156"/>
      <c r="F95" s="133"/>
      <c r="G95" s="190"/>
      <c r="H95" s="140"/>
      <c r="I95" s="135">
        <v>42614</v>
      </c>
      <c r="J95" s="134" t="s">
        <v>1166</v>
      </c>
      <c r="K95" s="133" t="s">
        <v>1165</v>
      </c>
      <c r="L95" s="190"/>
      <c r="M95" s="160"/>
      <c r="N95" s="135"/>
      <c r="O95" s="156"/>
      <c r="P95" s="133"/>
      <c r="Q95" s="132"/>
    </row>
    <row r="96" spans="1:17" ht="20.25" customHeight="1">
      <c r="A96" s="190"/>
      <c r="B96" s="193" t="s">
        <v>1021</v>
      </c>
      <c r="C96" s="140"/>
      <c r="D96" s="144">
        <v>42705</v>
      </c>
      <c r="E96" s="143" t="s">
        <v>1164</v>
      </c>
      <c r="F96" s="142"/>
      <c r="G96" s="190"/>
      <c r="H96" s="140"/>
      <c r="I96" s="144">
        <v>42705</v>
      </c>
      <c r="J96" s="143" t="s">
        <v>1164</v>
      </c>
      <c r="K96" s="142"/>
      <c r="L96" s="190"/>
      <c r="M96" s="140"/>
      <c r="N96" s="144">
        <v>42705</v>
      </c>
      <c r="O96" s="143" t="s">
        <v>1164</v>
      </c>
      <c r="P96" s="142"/>
      <c r="Q96" s="132"/>
    </row>
    <row r="97" spans="1:17" ht="58.5" customHeight="1">
      <c r="A97" s="190"/>
      <c r="B97" s="194"/>
      <c r="C97" s="136">
        <v>7</v>
      </c>
      <c r="D97" s="139">
        <v>42826</v>
      </c>
      <c r="E97" s="141" t="s">
        <v>1238</v>
      </c>
      <c r="F97" s="137" t="s">
        <v>1237</v>
      </c>
      <c r="G97" s="190"/>
      <c r="H97" s="136">
        <v>11</v>
      </c>
      <c r="I97" s="139">
        <v>42795</v>
      </c>
      <c r="J97" s="141" t="s">
        <v>1236</v>
      </c>
      <c r="K97" s="137" t="s">
        <v>1235</v>
      </c>
      <c r="L97" s="190"/>
      <c r="M97" s="136">
        <v>2</v>
      </c>
      <c r="N97" s="139">
        <v>42767</v>
      </c>
      <c r="O97" s="141" t="s">
        <v>1234</v>
      </c>
      <c r="P97" s="137" t="s">
        <v>1233</v>
      </c>
      <c r="Q97" s="132"/>
    </row>
    <row r="98" spans="1:17" ht="18.75">
      <c r="A98" s="190"/>
      <c r="B98" s="194"/>
      <c r="C98" s="140"/>
      <c r="D98" s="158"/>
      <c r="E98" s="138"/>
      <c r="F98" s="137"/>
      <c r="G98" s="190"/>
      <c r="H98" s="140"/>
      <c r="I98" s="158"/>
      <c r="J98" s="138"/>
      <c r="K98" s="137"/>
      <c r="L98" s="190"/>
      <c r="M98" s="140"/>
      <c r="N98" s="158"/>
      <c r="O98" s="138"/>
      <c r="P98" s="137"/>
      <c r="Q98" s="132"/>
    </row>
    <row r="99" spans="1:17" ht="71.25" customHeight="1">
      <c r="A99" s="190"/>
      <c r="B99" s="194"/>
      <c r="C99" s="136">
        <v>7</v>
      </c>
      <c r="D99" s="139" t="s">
        <v>1157</v>
      </c>
      <c r="E99" s="141" t="s">
        <v>1232</v>
      </c>
      <c r="F99" s="137" t="s">
        <v>1231</v>
      </c>
      <c r="G99" s="190"/>
      <c r="H99" s="136">
        <v>4</v>
      </c>
      <c r="I99" s="139">
        <v>42887</v>
      </c>
      <c r="J99" s="141" t="s">
        <v>1230</v>
      </c>
      <c r="K99" s="137" t="s">
        <v>1229</v>
      </c>
      <c r="L99" s="190"/>
      <c r="M99" s="136">
        <v>0</v>
      </c>
      <c r="N99" s="139">
        <v>42856</v>
      </c>
      <c r="O99" s="141" t="s">
        <v>1228</v>
      </c>
      <c r="P99" s="137" t="s">
        <v>1227</v>
      </c>
      <c r="Q99" s="132"/>
    </row>
    <row r="100" spans="1:17" ht="18.75">
      <c r="A100" s="190"/>
      <c r="B100" s="194"/>
      <c r="C100" s="140"/>
      <c r="D100" s="158"/>
      <c r="E100" s="138"/>
      <c r="F100" s="137"/>
      <c r="G100" s="190"/>
      <c r="H100" s="140"/>
      <c r="I100" s="158"/>
      <c r="J100" s="138"/>
      <c r="K100" s="137"/>
      <c r="L100" s="190"/>
      <c r="M100" s="140"/>
      <c r="N100" s="158"/>
      <c r="O100" s="138"/>
      <c r="P100" s="137"/>
      <c r="Q100" s="132"/>
    </row>
    <row r="101" spans="1:17" ht="62.25" customHeight="1">
      <c r="A101" s="190"/>
      <c r="B101" s="195"/>
      <c r="C101" s="140"/>
      <c r="D101" s="145"/>
      <c r="E101" s="156"/>
      <c r="F101" s="133"/>
      <c r="G101" s="190"/>
      <c r="H101" s="136">
        <v>0</v>
      </c>
      <c r="I101" s="145" t="s">
        <v>1157</v>
      </c>
      <c r="J101" s="134" t="s">
        <v>1226</v>
      </c>
      <c r="K101" s="133" t="s">
        <v>1225</v>
      </c>
      <c r="L101" s="190"/>
      <c r="M101" s="136">
        <v>0</v>
      </c>
      <c r="N101" s="145" t="s">
        <v>1157</v>
      </c>
      <c r="O101" s="134" t="s">
        <v>1224</v>
      </c>
      <c r="P101" s="133" t="s">
        <v>1223</v>
      </c>
      <c r="Q101" s="132"/>
    </row>
    <row r="102" spans="1:17" ht="18.75">
      <c r="A102" s="132"/>
      <c r="B102" s="132"/>
      <c r="C102" s="140"/>
      <c r="D102" s="132"/>
      <c r="E102" s="132"/>
      <c r="F102" s="132"/>
      <c r="G102" s="132"/>
      <c r="H102" s="140"/>
      <c r="I102" s="132"/>
      <c r="J102" s="132"/>
      <c r="K102" s="132"/>
      <c r="L102" s="132"/>
      <c r="M102" s="140"/>
      <c r="N102" s="132"/>
      <c r="O102" s="132"/>
      <c r="P102" s="132"/>
      <c r="Q102" s="132"/>
    </row>
    <row r="103" spans="1:17" ht="18.75">
      <c r="A103" s="190">
        <v>7</v>
      </c>
      <c r="B103" s="148"/>
      <c r="C103" s="140"/>
      <c r="D103" s="147">
        <v>41883</v>
      </c>
      <c r="E103" s="138" t="s">
        <v>1046</v>
      </c>
      <c r="F103" s="138" t="s">
        <v>1045</v>
      </c>
      <c r="G103" s="190">
        <v>7</v>
      </c>
      <c r="H103" s="140"/>
      <c r="I103" s="147">
        <v>41883</v>
      </c>
      <c r="J103" s="138" t="s">
        <v>1046</v>
      </c>
      <c r="K103" s="138" t="s">
        <v>1045</v>
      </c>
      <c r="L103" s="190">
        <v>7</v>
      </c>
      <c r="M103" s="140"/>
      <c r="N103" s="147">
        <v>41883</v>
      </c>
      <c r="O103" s="138" t="s">
        <v>1046</v>
      </c>
      <c r="P103" s="138" t="s">
        <v>1045</v>
      </c>
      <c r="Q103" s="132"/>
    </row>
    <row r="104" spans="1:17" ht="18.75">
      <c r="A104" s="190"/>
      <c r="B104" s="192" t="s">
        <v>1044</v>
      </c>
      <c r="C104" s="140"/>
      <c r="D104" s="144">
        <v>41974</v>
      </c>
      <c r="E104" s="143" t="s">
        <v>1196</v>
      </c>
      <c r="F104" s="142"/>
      <c r="G104" s="190"/>
      <c r="H104" s="140"/>
      <c r="I104" s="144">
        <v>41974</v>
      </c>
      <c r="J104" s="143" t="s">
        <v>1195</v>
      </c>
      <c r="K104" s="142"/>
      <c r="L104" s="190"/>
      <c r="M104" s="140"/>
      <c r="N104" s="144">
        <v>41974</v>
      </c>
      <c r="O104" s="143" t="s">
        <v>1194</v>
      </c>
      <c r="P104" s="142"/>
      <c r="Q104" s="132"/>
    </row>
    <row r="105" spans="1:17" ht="120">
      <c r="A105" s="190"/>
      <c r="B105" s="192"/>
      <c r="C105" s="140"/>
      <c r="D105" s="139">
        <v>42095</v>
      </c>
      <c r="E105" s="141" t="s">
        <v>1222</v>
      </c>
      <c r="F105" s="137" t="s">
        <v>1221</v>
      </c>
      <c r="G105" s="190"/>
      <c r="H105" s="140"/>
      <c r="I105" s="139">
        <v>42064</v>
      </c>
      <c r="J105" s="141" t="s">
        <v>1220</v>
      </c>
      <c r="K105" s="137" t="s">
        <v>1219</v>
      </c>
      <c r="L105" s="190"/>
      <c r="M105" s="140"/>
      <c r="N105" s="139">
        <v>42095</v>
      </c>
      <c r="O105" s="141" t="s">
        <v>1218</v>
      </c>
      <c r="P105" s="137" t="s">
        <v>1217</v>
      </c>
      <c r="Q105" s="132"/>
    </row>
    <row r="106" spans="1:17" ht="18.75">
      <c r="A106" s="190"/>
      <c r="B106" s="192"/>
      <c r="C106" s="140"/>
      <c r="D106" s="135">
        <v>42248</v>
      </c>
      <c r="E106" s="156" t="s">
        <v>1216</v>
      </c>
      <c r="F106" s="133"/>
      <c r="G106" s="190"/>
      <c r="H106" s="140"/>
      <c r="I106" s="135">
        <v>42248</v>
      </c>
      <c r="J106" s="156" t="s">
        <v>1215</v>
      </c>
      <c r="K106" s="133" t="s">
        <v>1214</v>
      </c>
      <c r="L106" s="190"/>
      <c r="M106" s="140"/>
      <c r="N106" s="139"/>
      <c r="O106" s="138"/>
      <c r="P106" s="137"/>
      <c r="Q106" s="132"/>
    </row>
    <row r="107" spans="1:17" ht="18.75" customHeight="1">
      <c r="A107" s="190"/>
      <c r="B107" s="192" t="s">
        <v>1034</v>
      </c>
      <c r="C107" s="140"/>
      <c r="D107" s="144">
        <v>42278</v>
      </c>
      <c r="E107" s="143" t="s">
        <v>1213</v>
      </c>
      <c r="F107" s="142"/>
      <c r="G107" s="190"/>
      <c r="H107" s="140"/>
      <c r="I107" s="144">
        <v>42309</v>
      </c>
      <c r="J107" s="143" t="s">
        <v>1032</v>
      </c>
      <c r="K107" s="142"/>
      <c r="L107" s="190"/>
      <c r="M107" s="140"/>
      <c r="N107" s="144">
        <v>42278</v>
      </c>
      <c r="O107" s="143" t="s">
        <v>1182</v>
      </c>
      <c r="P107" s="142"/>
      <c r="Q107" s="132"/>
    </row>
    <row r="108" spans="1:17" ht="60">
      <c r="A108" s="190"/>
      <c r="B108" s="192"/>
      <c r="C108" s="140"/>
      <c r="D108" s="139">
        <v>42370</v>
      </c>
      <c r="E108" s="141" t="s">
        <v>1178</v>
      </c>
      <c r="F108" s="137" t="s">
        <v>1177</v>
      </c>
      <c r="G108" s="190"/>
      <c r="H108" s="140"/>
      <c r="I108" s="139">
        <v>42401</v>
      </c>
      <c r="J108" s="141" t="s">
        <v>1176</v>
      </c>
      <c r="K108" s="137" t="s">
        <v>1212</v>
      </c>
      <c r="L108" s="190"/>
      <c r="M108" s="140"/>
      <c r="N108" s="139">
        <v>42401</v>
      </c>
      <c r="O108" s="141" t="s">
        <v>1211</v>
      </c>
      <c r="P108" s="137" t="s">
        <v>1210</v>
      </c>
      <c r="Q108" s="132"/>
    </row>
    <row r="109" spans="1:17" ht="18.75">
      <c r="A109" s="190"/>
      <c r="B109" s="192"/>
      <c r="C109" s="140"/>
      <c r="D109" s="139">
        <v>42552</v>
      </c>
      <c r="E109" s="138" t="s">
        <v>1172</v>
      </c>
      <c r="F109" s="137"/>
      <c r="G109" s="190"/>
      <c r="H109" s="140"/>
      <c r="I109" s="139"/>
      <c r="J109" s="138"/>
      <c r="K109" s="137"/>
      <c r="L109" s="190"/>
      <c r="M109" s="140"/>
      <c r="N109" s="139"/>
      <c r="O109" s="138"/>
      <c r="P109" s="137"/>
      <c r="Q109" s="132"/>
    </row>
    <row r="110" spans="1:17" ht="75">
      <c r="A110" s="190"/>
      <c r="B110" s="192"/>
      <c r="C110" s="140"/>
      <c r="D110" s="139">
        <v>42552</v>
      </c>
      <c r="E110" s="141" t="s">
        <v>1209</v>
      </c>
      <c r="F110" s="137" t="s">
        <v>1208</v>
      </c>
      <c r="G110" s="190"/>
      <c r="H110" s="140"/>
      <c r="I110" s="139">
        <v>42552</v>
      </c>
      <c r="J110" s="141" t="s">
        <v>1169</v>
      </c>
      <c r="K110" s="137" t="s">
        <v>1168</v>
      </c>
      <c r="L110" s="190"/>
      <c r="M110" s="140"/>
      <c r="N110" s="139">
        <v>42583</v>
      </c>
      <c r="O110" s="141" t="s">
        <v>1207</v>
      </c>
      <c r="P110" s="137" t="s">
        <v>1206</v>
      </c>
      <c r="Q110" s="132"/>
    </row>
    <row r="111" spans="1:17" ht="18.75">
      <c r="A111" s="190"/>
      <c r="B111" s="192"/>
      <c r="C111" s="140"/>
      <c r="D111" s="139"/>
      <c r="E111" s="138"/>
      <c r="F111" s="137"/>
      <c r="G111" s="190"/>
      <c r="H111" s="140"/>
      <c r="I111" s="139">
        <v>42614</v>
      </c>
      <c r="J111" s="138" t="s">
        <v>1167</v>
      </c>
      <c r="K111" s="137"/>
      <c r="L111" s="190"/>
      <c r="M111" s="140"/>
      <c r="N111" s="139"/>
      <c r="O111" s="138"/>
      <c r="P111" s="137"/>
      <c r="Q111" s="132"/>
    </row>
    <row r="112" spans="1:17" ht="45">
      <c r="A112" s="190"/>
      <c r="B112" s="192"/>
      <c r="C112" s="140"/>
      <c r="D112" s="135"/>
      <c r="E112" s="156"/>
      <c r="F112" s="133"/>
      <c r="G112" s="190"/>
      <c r="H112" s="140"/>
      <c r="I112" s="135">
        <v>42614</v>
      </c>
      <c r="J112" s="134" t="s">
        <v>1166</v>
      </c>
      <c r="K112" s="133" t="s">
        <v>1165</v>
      </c>
      <c r="L112" s="190"/>
      <c r="M112" s="140"/>
      <c r="N112" s="135"/>
      <c r="O112" s="156"/>
      <c r="P112" s="133"/>
      <c r="Q112" s="132"/>
    </row>
    <row r="113" spans="1:17" ht="18.75" customHeight="1">
      <c r="A113" s="190"/>
      <c r="B113" s="193" t="s">
        <v>1021</v>
      </c>
      <c r="C113" s="140"/>
      <c r="D113" s="144">
        <v>42705</v>
      </c>
      <c r="E113" s="143" t="s">
        <v>1164</v>
      </c>
      <c r="F113" s="142"/>
      <c r="G113" s="190"/>
      <c r="H113" s="140"/>
      <c r="I113" s="144">
        <v>42705</v>
      </c>
      <c r="J113" s="143" t="s">
        <v>1164</v>
      </c>
      <c r="K113" s="142"/>
      <c r="L113" s="190"/>
      <c r="M113" s="140"/>
      <c r="N113" s="144">
        <v>42705</v>
      </c>
      <c r="O113" s="143" t="s">
        <v>1164</v>
      </c>
      <c r="P113" s="142"/>
      <c r="Q113" s="132"/>
    </row>
    <row r="114" spans="1:17" ht="45" customHeight="1">
      <c r="A114" s="190"/>
      <c r="B114" s="194"/>
      <c r="C114" s="150">
        <v>9</v>
      </c>
      <c r="D114" s="139">
        <v>42826</v>
      </c>
      <c r="E114" s="141" t="s">
        <v>805</v>
      </c>
      <c r="F114" s="137" t="s">
        <v>1205</v>
      </c>
      <c r="G114" s="190"/>
      <c r="H114" s="136">
        <v>6</v>
      </c>
      <c r="I114" s="139">
        <v>42795</v>
      </c>
      <c r="J114" s="141" t="s">
        <v>1204</v>
      </c>
      <c r="K114" s="137" t="s">
        <v>1203</v>
      </c>
      <c r="L114" s="190"/>
      <c r="M114" s="150">
        <v>4</v>
      </c>
      <c r="N114" s="139">
        <v>42767</v>
      </c>
      <c r="O114" s="141" t="s">
        <v>1202</v>
      </c>
      <c r="P114" s="137" t="s">
        <v>1201</v>
      </c>
      <c r="Q114" s="132"/>
    </row>
    <row r="115" spans="1:17" ht="18.75">
      <c r="A115" s="190"/>
      <c r="B115" s="194"/>
      <c r="C115" s="140"/>
      <c r="D115" s="139"/>
      <c r="E115" s="138"/>
      <c r="F115" s="137"/>
      <c r="G115" s="190"/>
      <c r="H115" s="140"/>
      <c r="I115" s="139"/>
      <c r="J115" s="138"/>
      <c r="K115" s="137"/>
      <c r="L115" s="190"/>
      <c r="M115" s="140"/>
      <c r="N115" s="139"/>
      <c r="O115" s="138"/>
      <c r="P115" s="137"/>
      <c r="Q115" s="132"/>
    </row>
    <row r="116" spans="1:17" ht="62.25" customHeight="1">
      <c r="A116" s="190"/>
      <c r="B116" s="194"/>
      <c r="C116" s="150">
        <v>6</v>
      </c>
      <c r="D116" s="139" t="s">
        <v>1157</v>
      </c>
      <c r="E116" s="141" t="s">
        <v>1156</v>
      </c>
      <c r="F116" s="137" t="s">
        <v>1155</v>
      </c>
      <c r="G116" s="190"/>
      <c r="H116" s="136">
        <v>6</v>
      </c>
      <c r="I116" s="139">
        <v>42917</v>
      </c>
      <c r="J116" s="141" t="s">
        <v>1200</v>
      </c>
      <c r="K116" s="137" t="s">
        <v>1199</v>
      </c>
      <c r="L116" s="190"/>
      <c r="M116" s="150">
        <v>0</v>
      </c>
      <c r="N116" s="139">
        <v>42856</v>
      </c>
      <c r="O116" s="141" t="s">
        <v>1152</v>
      </c>
      <c r="P116" s="137" t="s">
        <v>1151</v>
      </c>
      <c r="Q116" s="132"/>
    </row>
    <row r="117" spans="1:17" ht="18.75">
      <c r="A117" s="190"/>
      <c r="B117" s="194"/>
      <c r="C117" s="140"/>
      <c r="D117" s="139"/>
      <c r="E117" s="138"/>
      <c r="F117" s="137"/>
      <c r="G117" s="190"/>
      <c r="H117" s="140"/>
      <c r="I117" s="139"/>
      <c r="J117" s="138"/>
      <c r="K117" s="137"/>
      <c r="L117" s="190"/>
      <c r="M117" s="140"/>
      <c r="N117" s="139"/>
      <c r="O117" s="138"/>
      <c r="P117" s="137"/>
      <c r="Q117" s="132"/>
    </row>
    <row r="118" spans="1:17" ht="58.5" customHeight="1">
      <c r="A118" s="190"/>
      <c r="B118" s="195"/>
      <c r="C118" s="140"/>
      <c r="D118" s="135"/>
      <c r="E118" s="156"/>
      <c r="F118" s="133"/>
      <c r="G118" s="190"/>
      <c r="H118" s="140"/>
      <c r="I118" s="135"/>
      <c r="J118" s="156"/>
      <c r="K118" s="133"/>
      <c r="L118" s="190"/>
      <c r="M118" s="150">
        <v>13</v>
      </c>
      <c r="N118" s="135">
        <v>42979</v>
      </c>
      <c r="O118" s="134" t="s">
        <v>1198</v>
      </c>
      <c r="P118" s="133" t="s">
        <v>1197</v>
      </c>
      <c r="Q118" s="132"/>
    </row>
    <row r="119" spans="1:17" ht="18.75">
      <c r="A119" s="132"/>
      <c r="B119" s="132"/>
      <c r="C119" s="140"/>
      <c r="D119" s="132"/>
      <c r="E119" s="132"/>
      <c r="F119" s="132"/>
      <c r="G119" s="132"/>
      <c r="H119" s="140"/>
      <c r="I119" s="132"/>
      <c r="J119" s="132"/>
      <c r="K119" s="132"/>
      <c r="L119" s="132"/>
      <c r="M119" s="132"/>
      <c r="N119" s="132"/>
      <c r="O119" s="132"/>
      <c r="P119" s="132"/>
      <c r="Q119" s="132"/>
    </row>
    <row r="120" spans="1:17" ht="18.75">
      <c r="A120" s="200">
        <v>8</v>
      </c>
      <c r="B120" s="140"/>
      <c r="C120" s="140"/>
      <c r="D120" s="147">
        <v>41883</v>
      </c>
      <c r="E120" s="138" t="s">
        <v>1046</v>
      </c>
      <c r="F120" s="138" t="s">
        <v>1045</v>
      </c>
      <c r="G120" s="200">
        <v>8</v>
      </c>
      <c r="H120" s="140"/>
      <c r="I120" s="147">
        <v>41883</v>
      </c>
      <c r="J120" s="138" t="s">
        <v>1046</v>
      </c>
      <c r="K120" s="138" t="s">
        <v>1045</v>
      </c>
      <c r="L120" s="200">
        <v>8</v>
      </c>
      <c r="M120" s="132"/>
      <c r="N120" s="147">
        <v>41883</v>
      </c>
      <c r="O120" s="138" t="s">
        <v>1046</v>
      </c>
      <c r="P120" s="138" t="s">
        <v>1045</v>
      </c>
      <c r="Q120" s="132"/>
    </row>
    <row r="121" spans="1:17" ht="18.75">
      <c r="A121" s="200"/>
      <c r="B121" s="192" t="s">
        <v>1044</v>
      </c>
      <c r="C121" s="140"/>
      <c r="D121" s="144">
        <v>41974</v>
      </c>
      <c r="E121" s="143" t="s">
        <v>1196</v>
      </c>
      <c r="F121" s="142"/>
      <c r="G121" s="200"/>
      <c r="H121" s="140"/>
      <c r="I121" s="144">
        <v>41974</v>
      </c>
      <c r="J121" s="143" t="s">
        <v>1195</v>
      </c>
      <c r="K121" s="142"/>
      <c r="L121" s="200"/>
      <c r="M121" s="132"/>
      <c r="N121" s="144">
        <v>41974</v>
      </c>
      <c r="O121" s="143" t="s">
        <v>1194</v>
      </c>
      <c r="P121" s="142"/>
      <c r="Q121" s="132"/>
    </row>
    <row r="122" spans="1:17" ht="75">
      <c r="A122" s="200"/>
      <c r="B122" s="192"/>
      <c r="C122" s="140"/>
      <c r="D122" s="139">
        <v>42095</v>
      </c>
      <c r="E122" s="141" t="s">
        <v>1193</v>
      </c>
      <c r="F122" s="159" t="s">
        <v>1192</v>
      </c>
      <c r="G122" s="200"/>
      <c r="H122" s="140"/>
      <c r="I122" s="139">
        <v>42095</v>
      </c>
      <c r="J122" s="141" t="s">
        <v>1191</v>
      </c>
      <c r="K122" s="137" t="s">
        <v>1190</v>
      </c>
      <c r="L122" s="200"/>
      <c r="M122" s="132"/>
      <c r="N122" s="139">
        <v>42095</v>
      </c>
      <c r="O122" s="141" t="s">
        <v>1189</v>
      </c>
      <c r="P122" s="137" t="s">
        <v>1188</v>
      </c>
      <c r="Q122" s="132"/>
    </row>
    <row r="123" spans="1:17" ht="60">
      <c r="A123" s="200"/>
      <c r="B123" s="192"/>
      <c r="C123" s="140"/>
      <c r="D123" s="135">
        <v>42156</v>
      </c>
      <c r="E123" s="134" t="s">
        <v>1187</v>
      </c>
      <c r="F123" s="133" t="s">
        <v>1186</v>
      </c>
      <c r="G123" s="200"/>
      <c r="H123" s="140"/>
      <c r="I123" s="135">
        <v>42248</v>
      </c>
      <c r="J123" s="156" t="s">
        <v>1185</v>
      </c>
      <c r="K123" s="133"/>
      <c r="L123" s="200"/>
      <c r="M123" s="132"/>
      <c r="N123" s="135"/>
      <c r="O123" s="156"/>
      <c r="P123" s="133"/>
      <c r="Q123" s="132"/>
    </row>
    <row r="124" spans="1:17" ht="18.75" customHeight="1">
      <c r="A124" s="200"/>
      <c r="B124" s="192" t="s">
        <v>1034</v>
      </c>
      <c r="C124" s="140"/>
      <c r="D124" s="144">
        <v>42278</v>
      </c>
      <c r="E124" s="143" t="s">
        <v>1184</v>
      </c>
      <c r="F124" s="142"/>
      <c r="G124" s="200"/>
      <c r="H124" s="140"/>
      <c r="I124" s="144">
        <v>42309</v>
      </c>
      <c r="J124" s="143" t="s">
        <v>1183</v>
      </c>
      <c r="K124" s="142"/>
      <c r="L124" s="200"/>
      <c r="M124" s="132"/>
      <c r="N124" s="144">
        <v>42278</v>
      </c>
      <c r="O124" s="143" t="s">
        <v>1182</v>
      </c>
      <c r="P124" s="142"/>
      <c r="Q124" s="132"/>
    </row>
    <row r="125" spans="1:17" ht="45">
      <c r="A125" s="200"/>
      <c r="B125" s="192"/>
      <c r="C125" s="140"/>
      <c r="D125" s="139"/>
      <c r="E125" s="138"/>
      <c r="F125" s="137"/>
      <c r="G125" s="200"/>
      <c r="H125" s="140"/>
      <c r="I125" s="139">
        <v>42370</v>
      </c>
      <c r="J125" s="138" t="s">
        <v>1181</v>
      </c>
      <c r="K125" s="137"/>
      <c r="L125" s="200"/>
      <c r="M125" s="132"/>
      <c r="N125" s="139">
        <v>42401</v>
      </c>
      <c r="O125" s="141" t="s">
        <v>1180</v>
      </c>
      <c r="P125" s="137" t="s">
        <v>1179</v>
      </c>
      <c r="Q125" s="132"/>
    </row>
    <row r="126" spans="1:17" ht="18.75">
      <c r="A126" s="200"/>
      <c r="B126" s="192"/>
      <c r="C126" s="140"/>
      <c r="D126" s="139">
        <v>42552</v>
      </c>
      <c r="E126" s="138" t="s">
        <v>1172</v>
      </c>
      <c r="F126" s="137"/>
      <c r="G126" s="200"/>
      <c r="H126" s="140"/>
      <c r="I126" s="158"/>
      <c r="J126" s="138"/>
      <c r="K126" s="137"/>
      <c r="L126" s="200"/>
      <c r="M126" s="132"/>
      <c r="N126" s="158"/>
      <c r="O126" s="138"/>
      <c r="P126" s="137"/>
      <c r="Q126" s="132"/>
    </row>
    <row r="127" spans="1:17" ht="60">
      <c r="A127" s="200"/>
      <c r="B127" s="192"/>
      <c r="C127" s="140"/>
      <c r="D127" s="139">
        <v>42370</v>
      </c>
      <c r="E127" s="141" t="s">
        <v>1178</v>
      </c>
      <c r="F127" s="137" t="s">
        <v>1177</v>
      </c>
      <c r="G127" s="200"/>
      <c r="H127" s="140"/>
      <c r="I127" s="139">
        <v>42401</v>
      </c>
      <c r="J127" s="141" t="s">
        <v>1176</v>
      </c>
      <c r="K127" s="137" t="s">
        <v>1175</v>
      </c>
      <c r="L127" s="200"/>
      <c r="M127" s="132"/>
      <c r="N127" s="139">
        <v>42583</v>
      </c>
      <c r="O127" s="141" t="s">
        <v>1174</v>
      </c>
      <c r="P127" s="137" t="s">
        <v>1173</v>
      </c>
      <c r="Q127" s="132"/>
    </row>
    <row r="128" spans="1:17" ht="18.75">
      <c r="A128" s="200"/>
      <c r="B128" s="192"/>
      <c r="C128" s="140"/>
      <c r="D128" s="139">
        <v>42552</v>
      </c>
      <c r="E128" s="138" t="s">
        <v>1172</v>
      </c>
      <c r="F128" s="137"/>
      <c r="G128" s="200"/>
      <c r="H128" s="140"/>
      <c r="I128" s="158"/>
      <c r="J128" s="138"/>
      <c r="K128" s="137"/>
      <c r="L128" s="200"/>
      <c r="M128" s="132"/>
      <c r="N128" s="139"/>
      <c r="O128" s="138"/>
      <c r="P128" s="137"/>
      <c r="Q128" s="132"/>
    </row>
    <row r="129" spans="1:17" ht="45">
      <c r="A129" s="200"/>
      <c r="B129" s="192"/>
      <c r="C129" s="140"/>
      <c r="D129" s="139">
        <v>42552</v>
      </c>
      <c r="E129" s="141" t="s">
        <v>1171</v>
      </c>
      <c r="F129" s="137" t="s">
        <v>1170</v>
      </c>
      <c r="G129" s="200"/>
      <c r="H129" s="140"/>
      <c r="I129" s="139">
        <v>42552</v>
      </c>
      <c r="J129" s="141" t="s">
        <v>1169</v>
      </c>
      <c r="K129" s="137" t="s">
        <v>1168</v>
      </c>
      <c r="L129" s="200"/>
      <c r="M129" s="132"/>
      <c r="N129" s="157"/>
      <c r="O129" s="138"/>
      <c r="P129" s="137"/>
      <c r="Q129" s="132"/>
    </row>
    <row r="130" spans="1:17" ht="18.75">
      <c r="A130" s="200"/>
      <c r="B130" s="192"/>
      <c r="C130" s="140"/>
      <c r="D130" s="139"/>
      <c r="E130" s="138"/>
      <c r="F130" s="137"/>
      <c r="G130" s="200"/>
      <c r="H130" s="140"/>
      <c r="I130" s="139">
        <v>42614</v>
      </c>
      <c r="J130" s="138" t="s">
        <v>1167</v>
      </c>
      <c r="K130" s="137"/>
      <c r="L130" s="200"/>
      <c r="M130" s="132"/>
      <c r="N130" s="139"/>
      <c r="O130" s="138"/>
      <c r="P130" s="137"/>
      <c r="Q130" s="132"/>
    </row>
    <row r="131" spans="1:17" ht="45">
      <c r="A131" s="200"/>
      <c r="B131" s="192"/>
      <c r="C131" s="140"/>
      <c r="D131" s="135"/>
      <c r="E131" s="156"/>
      <c r="F131" s="133"/>
      <c r="G131" s="200"/>
      <c r="H131" s="140"/>
      <c r="I131" s="135">
        <v>42614</v>
      </c>
      <c r="J131" s="134" t="s">
        <v>1166</v>
      </c>
      <c r="K131" s="133" t="s">
        <v>1165</v>
      </c>
      <c r="L131" s="200"/>
      <c r="M131" s="132"/>
      <c r="N131" s="135"/>
      <c r="O131" s="156"/>
      <c r="P131" s="133"/>
      <c r="Q131" s="132"/>
    </row>
    <row r="132" spans="1:17" ht="18.75" customHeight="1">
      <c r="A132" s="200"/>
      <c r="B132" s="193" t="s">
        <v>1021</v>
      </c>
      <c r="C132" s="140"/>
      <c r="D132" s="144"/>
      <c r="E132" s="143"/>
      <c r="F132" s="142"/>
      <c r="G132" s="200"/>
      <c r="H132" s="140"/>
      <c r="I132" s="144">
        <v>42736</v>
      </c>
      <c r="J132" s="143" t="s">
        <v>1164</v>
      </c>
      <c r="K132" s="142"/>
      <c r="L132" s="200"/>
      <c r="M132" s="132"/>
      <c r="N132" s="144">
        <v>42705</v>
      </c>
      <c r="O132" s="143" t="s">
        <v>1164</v>
      </c>
      <c r="P132" s="142"/>
      <c r="Q132" s="132"/>
    </row>
    <row r="133" spans="1:17" ht="58.5" customHeight="1">
      <c r="A133" s="200"/>
      <c r="B133" s="194"/>
      <c r="C133" s="136">
        <v>0</v>
      </c>
      <c r="D133" s="139">
        <v>42826</v>
      </c>
      <c r="E133" s="141" t="s">
        <v>1163</v>
      </c>
      <c r="F133" s="137" t="s">
        <v>1162</v>
      </c>
      <c r="G133" s="200"/>
      <c r="H133" s="136">
        <v>6</v>
      </c>
      <c r="I133" s="139">
        <v>42795</v>
      </c>
      <c r="J133" s="141" t="s">
        <v>1161</v>
      </c>
      <c r="K133" s="137" t="s">
        <v>1160</v>
      </c>
      <c r="L133" s="200"/>
      <c r="M133" s="136">
        <v>6</v>
      </c>
      <c r="N133" s="139">
        <v>42767</v>
      </c>
      <c r="O133" s="141" t="s">
        <v>1159</v>
      </c>
      <c r="P133" s="137" t="s">
        <v>1158</v>
      </c>
      <c r="Q133" s="132"/>
    </row>
    <row r="134" spans="1:17" ht="18.75">
      <c r="A134" s="200"/>
      <c r="B134" s="194"/>
      <c r="C134" s="140"/>
      <c r="D134" s="139"/>
      <c r="E134" s="138"/>
      <c r="F134" s="137"/>
      <c r="G134" s="200"/>
      <c r="H134" s="140"/>
      <c r="I134" s="139"/>
      <c r="J134" s="138"/>
      <c r="K134" s="137"/>
      <c r="L134" s="200"/>
      <c r="M134" s="140"/>
      <c r="N134" s="139"/>
      <c r="O134" s="138"/>
      <c r="P134" s="137"/>
      <c r="Q134" s="132"/>
    </row>
    <row r="135" spans="1:17" ht="58.5" customHeight="1">
      <c r="A135" s="200"/>
      <c r="B135" s="194"/>
      <c r="C135" s="136">
        <v>6</v>
      </c>
      <c r="D135" s="139" t="s">
        <v>1157</v>
      </c>
      <c r="E135" s="141" t="s">
        <v>1156</v>
      </c>
      <c r="F135" s="137" t="s">
        <v>1155</v>
      </c>
      <c r="G135" s="200"/>
      <c r="H135" s="136">
        <v>1</v>
      </c>
      <c r="I135" s="139">
        <v>42917</v>
      </c>
      <c r="J135" s="141" t="s">
        <v>1154</v>
      </c>
      <c r="K135" s="137" t="s">
        <v>1153</v>
      </c>
      <c r="L135" s="200"/>
      <c r="M135" s="136">
        <v>0</v>
      </c>
      <c r="N135" s="139">
        <v>42856</v>
      </c>
      <c r="O135" s="141" t="s">
        <v>1152</v>
      </c>
      <c r="P135" s="137" t="s">
        <v>1151</v>
      </c>
      <c r="Q135" s="132"/>
    </row>
    <row r="136" spans="1:17" ht="18.75">
      <c r="A136" s="200"/>
      <c r="B136" s="194"/>
      <c r="C136" s="140"/>
      <c r="D136" s="139"/>
      <c r="E136" s="138"/>
      <c r="F136" s="137"/>
      <c r="G136" s="200"/>
      <c r="H136" s="140"/>
      <c r="I136" s="139"/>
      <c r="J136" s="138"/>
      <c r="K136" s="137"/>
      <c r="L136" s="200"/>
      <c r="M136" s="140"/>
      <c r="N136" s="139"/>
      <c r="O136" s="138"/>
      <c r="P136" s="137"/>
      <c r="Q136" s="132"/>
    </row>
    <row r="137" spans="1:17" ht="42" customHeight="1">
      <c r="A137" s="200"/>
      <c r="B137" s="195"/>
      <c r="C137" s="140"/>
      <c r="D137" s="135"/>
      <c r="E137" s="156"/>
      <c r="F137" s="133"/>
      <c r="G137" s="200"/>
      <c r="H137" s="140"/>
      <c r="I137" s="135"/>
      <c r="J137" s="156"/>
      <c r="K137" s="133"/>
      <c r="L137" s="200"/>
      <c r="M137" s="136">
        <v>13</v>
      </c>
      <c r="N137" s="135">
        <v>42979</v>
      </c>
      <c r="O137" s="134" t="s">
        <v>917</v>
      </c>
      <c r="P137" s="133" t="s">
        <v>1150</v>
      </c>
      <c r="Q137" s="132"/>
    </row>
    <row r="138" spans="1:17" ht="18.75">
      <c r="A138" s="132"/>
      <c r="B138" s="132"/>
      <c r="C138" s="140"/>
      <c r="D138" s="132"/>
      <c r="E138" s="132"/>
      <c r="F138" s="132"/>
      <c r="G138" s="132"/>
      <c r="H138" s="140"/>
      <c r="I138" s="132"/>
      <c r="J138" s="132"/>
      <c r="K138" s="132"/>
      <c r="L138" s="132"/>
      <c r="M138" s="132"/>
      <c r="N138" s="132"/>
      <c r="O138" s="132"/>
      <c r="P138" s="132"/>
      <c r="Q138" s="132"/>
    </row>
  </sheetData>
  <mergeCells count="52">
    <mergeCell ref="A1:Q1"/>
    <mergeCell ref="D2:F2"/>
    <mergeCell ref="I2:K2"/>
    <mergeCell ref="N2:P2"/>
    <mergeCell ref="A3:A17"/>
    <mergeCell ref="G3:G17"/>
    <mergeCell ref="L3:L17"/>
    <mergeCell ref="B6:B9"/>
    <mergeCell ref="B10:B13"/>
    <mergeCell ref="B14:B17"/>
    <mergeCell ref="A19:A32"/>
    <mergeCell ref="L19:L32"/>
    <mergeCell ref="B20:B23"/>
    <mergeCell ref="A34:A48"/>
    <mergeCell ref="G34:G48"/>
    <mergeCell ref="L34:L48"/>
    <mergeCell ref="B35:B38"/>
    <mergeCell ref="B24:B28"/>
    <mergeCell ref="B39:B44"/>
    <mergeCell ref="B29:B32"/>
    <mergeCell ref="B45:B48"/>
    <mergeCell ref="G19:G32"/>
    <mergeCell ref="A84:A101"/>
    <mergeCell ref="G84:G101"/>
    <mergeCell ref="L84:L101"/>
    <mergeCell ref="B85:B87"/>
    <mergeCell ref="A103:A118"/>
    <mergeCell ref="G103:G118"/>
    <mergeCell ref="A50:A64"/>
    <mergeCell ref="G50:G64"/>
    <mergeCell ref="L50:L64"/>
    <mergeCell ref="B51:B53"/>
    <mergeCell ref="A66:A82"/>
    <mergeCell ref="G66:G82"/>
    <mergeCell ref="L66:L82"/>
    <mergeCell ref="B67:B69"/>
    <mergeCell ref="B70:B76"/>
    <mergeCell ref="B54:B60"/>
    <mergeCell ref="B61:B64"/>
    <mergeCell ref="B77:B82"/>
    <mergeCell ref="L103:L118"/>
    <mergeCell ref="B104:B106"/>
    <mergeCell ref="B88:B95"/>
    <mergeCell ref="B107:B112"/>
    <mergeCell ref="B124:B131"/>
    <mergeCell ref="B96:B101"/>
    <mergeCell ref="B113:B118"/>
    <mergeCell ref="A120:A137"/>
    <mergeCell ref="G120:G137"/>
    <mergeCell ref="L120:L137"/>
    <mergeCell ref="B121:B123"/>
    <mergeCell ref="B132:B13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S138"/>
  <sheetViews>
    <sheetView topLeftCell="C1" zoomScale="55" zoomScaleNormal="55" workbookViewId="0">
      <selection activeCell="M117" sqref="M117"/>
    </sheetView>
  </sheetViews>
  <sheetFormatPr defaultRowHeight="15"/>
  <cols>
    <col min="1" max="4" width="9.140625" style="162"/>
    <col min="5" max="5" width="15.85546875" style="23" customWidth="1"/>
    <col min="6" max="6" width="17" style="162" customWidth="1"/>
    <col min="7" max="7" width="54.28515625" style="162" customWidth="1"/>
    <col min="8" max="8" width="82.85546875" style="162" customWidth="1"/>
    <col min="9" max="9" width="3.7109375" style="162" customWidth="1"/>
    <col min="10" max="10" width="11.7109375" style="23" customWidth="1"/>
    <col min="11" max="11" width="17" style="162" bestFit="1" customWidth="1"/>
    <col min="12" max="12" width="51.85546875" style="162" customWidth="1"/>
    <col min="13" max="13" width="64.42578125" style="161" customWidth="1"/>
    <col min="14" max="14" width="3.7109375" style="161" bestFit="1" customWidth="1"/>
    <col min="15" max="15" width="18" style="23" customWidth="1"/>
    <col min="16" max="16" width="17" style="161" bestFit="1" customWidth="1"/>
    <col min="17" max="17" width="50.28515625" style="161" bestFit="1" customWidth="1"/>
    <col min="18" max="18" width="98.85546875" style="161" bestFit="1" customWidth="1"/>
    <col min="19" max="19" width="9.140625" style="161" customWidth="1"/>
    <col min="20" max="16384" width="9.140625" style="161"/>
  </cols>
  <sheetData>
    <row r="1" spans="3:19" s="161" customFormat="1" ht="62.25" customHeight="1" thickBot="1">
      <c r="C1" s="196" t="s">
        <v>489</v>
      </c>
      <c r="D1" s="197"/>
      <c r="E1" s="197"/>
      <c r="F1" s="197"/>
      <c r="G1" s="197"/>
      <c r="H1" s="197"/>
      <c r="I1" s="197"/>
      <c r="J1" s="197"/>
      <c r="K1" s="197"/>
      <c r="L1" s="197"/>
      <c r="M1" s="197"/>
      <c r="N1" s="197"/>
      <c r="O1" s="197"/>
      <c r="P1" s="197"/>
      <c r="Q1" s="197"/>
      <c r="R1" s="197"/>
      <c r="S1" s="198"/>
    </row>
    <row r="2" spans="3:19" s="161" customFormat="1" ht="26.25" customHeight="1">
      <c r="C2" s="132"/>
      <c r="D2" s="132"/>
      <c r="E2" s="132"/>
      <c r="F2" s="201" t="s">
        <v>480</v>
      </c>
      <c r="G2" s="201"/>
      <c r="H2" s="201"/>
      <c r="I2" s="132"/>
      <c r="J2" s="132"/>
      <c r="K2" s="201" t="s">
        <v>481</v>
      </c>
      <c r="L2" s="201"/>
      <c r="M2" s="201"/>
      <c r="N2" s="132"/>
      <c r="O2" s="132"/>
      <c r="P2" s="201" t="s">
        <v>482</v>
      </c>
      <c r="Q2" s="201"/>
      <c r="R2" s="201"/>
      <c r="S2" s="132"/>
    </row>
    <row r="3" spans="3:19" s="161" customFormat="1" ht="18.75">
      <c r="C3" s="190">
        <v>1</v>
      </c>
      <c r="D3" s="148"/>
      <c r="E3" s="140"/>
      <c r="F3" s="155"/>
      <c r="G3" s="155"/>
      <c r="H3" s="155"/>
      <c r="I3" s="190">
        <v>1</v>
      </c>
      <c r="J3" s="140"/>
      <c r="K3" s="155"/>
      <c r="L3" s="155" t="s">
        <v>481</v>
      </c>
      <c r="M3" s="155"/>
      <c r="N3" s="190">
        <v>1</v>
      </c>
      <c r="O3" s="140"/>
      <c r="P3" s="155" t="s">
        <v>482</v>
      </c>
      <c r="Q3" s="155"/>
      <c r="R3" s="155"/>
      <c r="S3" s="154"/>
    </row>
    <row r="4" spans="3:19" s="161" customFormat="1" ht="18.75">
      <c r="C4" s="190"/>
      <c r="D4" s="148"/>
      <c r="E4" s="140"/>
      <c r="F4" s="153" t="s">
        <v>483</v>
      </c>
      <c r="G4" s="153" t="s">
        <v>1149</v>
      </c>
      <c r="H4" s="153" t="s">
        <v>1148</v>
      </c>
      <c r="I4" s="190"/>
      <c r="J4" s="140"/>
      <c r="K4" s="153" t="s">
        <v>483</v>
      </c>
      <c r="L4" s="153" t="s">
        <v>1149</v>
      </c>
      <c r="M4" s="153" t="s">
        <v>1148</v>
      </c>
      <c r="N4" s="190"/>
      <c r="O4" s="140"/>
      <c r="P4" s="153" t="s">
        <v>483</v>
      </c>
      <c r="Q4" s="153" t="s">
        <v>1149</v>
      </c>
      <c r="R4" s="153" t="s">
        <v>1148</v>
      </c>
      <c r="S4" s="152"/>
    </row>
    <row r="5" spans="3:19" s="161" customFormat="1" ht="18.75">
      <c r="C5" s="190"/>
      <c r="D5" s="148"/>
      <c r="E5" s="140"/>
      <c r="F5" s="147">
        <v>41883</v>
      </c>
      <c r="G5" s="138" t="s">
        <v>1046</v>
      </c>
      <c r="H5" s="138" t="s">
        <v>1045</v>
      </c>
      <c r="I5" s="190"/>
      <c r="J5" s="140"/>
      <c r="K5" s="147">
        <v>41883</v>
      </c>
      <c r="L5" s="138" t="s">
        <v>1046</v>
      </c>
      <c r="M5" s="138" t="s">
        <v>1045</v>
      </c>
      <c r="N5" s="190"/>
      <c r="O5" s="140"/>
      <c r="P5" s="147">
        <v>41883</v>
      </c>
      <c r="Q5" s="138" t="s">
        <v>1046</v>
      </c>
      <c r="R5" s="138" t="s">
        <v>1045</v>
      </c>
      <c r="S5" s="132"/>
    </row>
    <row r="6" spans="3:19" s="161" customFormat="1" ht="30">
      <c r="C6" s="190"/>
      <c r="D6" s="192" t="s">
        <v>1044</v>
      </c>
      <c r="E6" s="140"/>
      <c r="F6" s="144">
        <v>41944</v>
      </c>
      <c r="G6" s="143" t="s">
        <v>1413</v>
      </c>
      <c r="H6" s="142"/>
      <c r="I6" s="190"/>
      <c r="J6" s="140"/>
      <c r="K6" s="144">
        <v>41944</v>
      </c>
      <c r="L6" s="143" t="s">
        <v>1571</v>
      </c>
      <c r="M6" s="142"/>
      <c r="N6" s="190"/>
      <c r="O6" s="140"/>
      <c r="P6" s="144">
        <v>41944</v>
      </c>
      <c r="Q6" s="143" t="s">
        <v>1570</v>
      </c>
      <c r="R6" s="142"/>
      <c r="S6" s="132"/>
    </row>
    <row r="7" spans="3:19" s="161" customFormat="1" ht="75">
      <c r="C7" s="190"/>
      <c r="D7" s="192"/>
      <c r="E7" s="140"/>
      <c r="F7" s="139">
        <v>42036</v>
      </c>
      <c r="G7" s="141" t="s">
        <v>1591</v>
      </c>
      <c r="H7" s="137" t="s">
        <v>1590</v>
      </c>
      <c r="I7" s="190"/>
      <c r="J7" s="140"/>
      <c r="K7" s="139">
        <v>42036</v>
      </c>
      <c r="L7" s="141" t="s">
        <v>1589</v>
      </c>
      <c r="M7" s="137" t="s">
        <v>1588</v>
      </c>
      <c r="N7" s="190"/>
      <c r="O7" s="140"/>
      <c r="P7" s="139">
        <v>42156</v>
      </c>
      <c r="Q7" s="141" t="s">
        <v>1587</v>
      </c>
      <c r="R7" s="137" t="s">
        <v>1586</v>
      </c>
      <c r="S7" s="132"/>
    </row>
    <row r="8" spans="3:19" s="161" customFormat="1" ht="15" customHeight="1">
      <c r="C8" s="190"/>
      <c r="D8" s="192"/>
      <c r="E8" s="140"/>
      <c r="F8" s="139"/>
      <c r="G8" s="138"/>
      <c r="H8" s="137"/>
      <c r="I8" s="190"/>
      <c r="J8" s="140"/>
      <c r="K8" s="139"/>
      <c r="L8" s="138"/>
      <c r="M8" s="137"/>
      <c r="N8" s="190"/>
      <c r="O8" s="140"/>
      <c r="P8" s="158"/>
      <c r="Q8" s="138"/>
      <c r="R8" s="137"/>
      <c r="S8" s="132"/>
    </row>
    <row r="9" spans="3:19" s="161" customFormat="1" ht="75">
      <c r="C9" s="190"/>
      <c r="D9" s="192"/>
      <c r="E9" s="140"/>
      <c r="F9" s="139">
        <v>75089</v>
      </c>
      <c r="G9" s="141" t="s">
        <v>1364</v>
      </c>
      <c r="H9" s="137" t="s">
        <v>1585</v>
      </c>
      <c r="I9" s="190"/>
      <c r="J9" s="140"/>
      <c r="K9" s="139">
        <v>42156</v>
      </c>
      <c r="L9" s="141" t="s">
        <v>1584</v>
      </c>
      <c r="M9" s="137" t="s">
        <v>1583</v>
      </c>
      <c r="N9" s="190"/>
      <c r="O9" s="140"/>
      <c r="P9" s="139">
        <v>42186</v>
      </c>
      <c r="Q9" s="141" t="s">
        <v>1566</v>
      </c>
      <c r="R9" s="137" t="s">
        <v>1565</v>
      </c>
      <c r="S9" s="132"/>
    </row>
    <row r="10" spans="3:19" s="161" customFormat="1" ht="15" customHeight="1">
      <c r="C10" s="190"/>
      <c r="D10" s="192"/>
      <c r="E10" s="140"/>
      <c r="F10" s="139"/>
      <c r="G10" s="138"/>
      <c r="H10" s="137"/>
      <c r="I10" s="190"/>
      <c r="J10" s="140"/>
      <c r="K10" s="158"/>
      <c r="L10" s="138"/>
      <c r="M10" s="137"/>
      <c r="N10" s="190"/>
      <c r="O10" s="140"/>
      <c r="P10" s="139"/>
      <c r="Q10" s="138"/>
      <c r="R10" s="137"/>
      <c r="S10" s="132"/>
    </row>
    <row r="11" spans="3:19" s="161" customFormat="1" ht="45">
      <c r="C11" s="190"/>
      <c r="D11" s="192"/>
      <c r="E11" s="140"/>
      <c r="F11" s="135"/>
      <c r="G11" s="156"/>
      <c r="H11" s="133"/>
      <c r="I11" s="190"/>
      <c r="J11" s="140"/>
      <c r="K11" s="135">
        <v>42248</v>
      </c>
      <c r="L11" s="134" t="s">
        <v>1561</v>
      </c>
      <c r="M11" s="133" t="s">
        <v>1560</v>
      </c>
      <c r="N11" s="190"/>
      <c r="O11" s="140"/>
      <c r="P11" s="145"/>
      <c r="Q11" s="156"/>
      <c r="R11" s="133"/>
      <c r="S11" s="132"/>
    </row>
    <row r="12" spans="3:19" s="161" customFormat="1" ht="18.75" customHeight="1">
      <c r="C12" s="190"/>
      <c r="D12" s="192" t="s">
        <v>1034</v>
      </c>
      <c r="E12" s="140"/>
      <c r="F12" s="144">
        <v>42309</v>
      </c>
      <c r="G12" s="143" t="s">
        <v>1183</v>
      </c>
      <c r="H12" s="142"/>
      <c r="I12" s="190"/>
      <c r="J12" s="140"/>
      <c r="K12" s="144">
        <v>42339</v>
      </c>
      <c r="L12" s="143" t="s">
        <v>1355</v>
      </c>
      <c r="M12" s="142"/>
      <c r="N12" s="190"/>
      <c r="O12" s="140"/>
      <c r="P12" s="144">
        <v>42309</v>
      </c>
      <c r="Q12" s="143" t="s">
        <v>1183</v>
      </c>
      <c r="R12" s="142"/>
      <c r="S12" s="132"/>
    </row>
    <row r="13" spans="3:19" s="161" customFormat="1" ht="18.75">
      <c r="C13" s="190"/>
      <c r="D13" s="192"/>
      <c r="E13" s="140"/>
      <c r="F13" s="139">
        <v>42370</v>
      </c>
      <c r="G13" s="138" t="s">
        <v>1306</v>
      </c>
      <c r="H13" s="137"/>
      <c r="I13" s="190"/>
      <c r="J13" s="140"/>
      <c r="K13" s="139">
        <v>42401</v>
      </c>
      <c r="L13" s="138" t="s">
        <v>1306</v>
      </c>
      <c r="M13" s="137"/>
      <c r="N13" s="190"/>
      <c r="O13" s="140"/>
      <c r="P13" s="139"/>
      <c r="Q13" s="138"/>
      <c r="R13" s="137"/>
      <c r="S13" s="132"/>
    </row>
    <row r="14" spans="3:19" s="161" customFormat="1" ht="60">
      <c r="C14" s="190"/>
      <c r="D14" s="192"/>
      <c r="E14" s="140"/>
      <c r="F14" s="139">
        <v>42401</v>
      </c>
      <c r="G14" s="141" t="s">
        <v>1582</v>
      </c>
      <c r="H14" s="137" t="s">
        <v>1581</v>
      </c>
      <c r="I14" s="190"/>
      <c r="J14" s="140"/>
      <c r="K14" s="139">
        <v>42430</v>
      </c>
      <c r="L14" s="141" t="s">
        <v>1580</v>
      </c>
      <c r="M14" s="137" t="s">
        <v>1579</v>
      </c>
      <c r="N14" s="190"/>
      <c r="O14" s="140"/>
      <c r="P14" s="139">
        <v>42461</v>
      </c>
      <c r="Q14" s="141" t="s">
        <v>1555</v>
      </c>
      <c r="R14" s="137" t="s">
        <v>1554</v>
      </c>
      <c r="S14" s="132"/>
    </row>
    <row r="15" spans="3:19" s="161" customFormat="1" ht="18.75">
      <c r="C15" s="190"/>
      <c r="D15" s="192"/>
      <c r="E15" s="140"/>
      <c r="F15" s="158"/>
      <c r="G15" s="138"/>
      <c r="H15" s="159"/>
      <c r="I15" s="190"/>
      <c r="J15" s="140"/>
      <c r="K15" s="158"/>
      <c r="L15" s="138"/>
      <c r="M15" s="137"/>
      <c r="N15" s="190"/>
      <c r="O15" s="140"/>
      <c r="P15" s="158"/>
      <c r="Q15" s="138"/>
      <c r="R15" s="137"/>
      <c r="S15" s="132"/>
    </row>
    <row r="16" spans="3:19" s="161" customFormat="1" ht="75">
      <c r="C16" s="190"/>
      <c r="D16" s="192"/>
      <c r="E16" s="140"/>
      <c r="F16" s="135">
        <v>42552</v>
      </c>
      <c r="G16" s="134" t="s">
        <v>1395</v>
      </c>
      <c r="H16" s="133" t="s">
        <v>1532</v>
      </c>
      <c r="I16" s="190"/>
      <c r="J16" s="140"/>
      <c r="K16" s="135">
        <v>42552</v>
      </c>
      <c r="L16" s="134" t="s">
        <v>1578</v>
      </c>
      <c r="M16" s="133" t="s">
        <v>1577</v>
      </c>
      <c r="N16" s="190"/>
      <c r="O16" s="140"/>
      <c r="P16" s="135">
        <v>42583</v>
      </c>
      <c r="Q16" s="134" t="s">
        <v>1529</v>
      </c>
      <c r="R16" s="133" t="s">
        <v>1528</v>
      </c>
      <c r="S16" s="132"/>
    </row>
    <row r="17" spans="3:19" s="161" customFormat="1" ht="18.75" customHeight="1">
      <c r="C17" s="190"/>
      <c r="D17" s="193" t="s">
        <v>1021</v>
      </c>
      <c r="E17" s="140"/>
      <c r="F17" s="144">
        <v>42705</v>
      </c>
      <c r="G17" s="143" t="s">
        <v>1387</v>
      </c>
      <c r="H17" s="142"/>
      <c r="I17" s="190"/>
      <c r="J17" s="140"/>
      <c r="K17" s="144">
        <v>42705</v>
      </c>
      <c r="L17" s="143" t="s">
        <v>1387</v>
      </c>
      <c r="M17" s="142"/>
      <c r="N17" s="190"/>
      <c r="O17" s="140"/>
      <c r="P17" s="144">
        <v>42705</v>
      </c>
      <c r="Q17" s="143" t="s">
        <v>1387</v>
      </c>
      <c r="R17" s="142"/>
      <c r="S17" s="132"/>
    </row>
    <row r="18" spans="3:19" s="161" customFormat="1" ht="96.75" customHeight="1">
      <c r="C18" s="190"/>
      <c r="D18" s="194"/>
      <c r="E18" s="150">
        <v>8</v>
      </c>
      <c r="F18" s="139">
        <v>42736</v>
      </c>
      <c r="G18" s="141" t="s">
        <v>1467</v>
      </c>
      <c r="H18" s="137" t="s">
        <v>1576</v>
      </c>
      <c r="I18" s="190"/>
      <c r="J18" s="136">
        <v>8</v>
      </c>
      <c r="K18" s="139">
        <v>42767</v>
      </c>
      <c r="L18" s="141" t="s">
        <v>1551</v>
      </c>
      <c r="M18" s="137" t="s">
        <v>1550</v>
      </c>
      <c r="N18" s="190"/>
      <c r="O18" s="136">
        <v>8</v>
      </c>
      <c r="P18" s="139">
        <v>42767</v>
      </c>
      <c r="Q18" s="141" t="s">
        <v>1465</v>
      </c>
      <c r="R18" s="137" t="s">
        <v>1464</v>
      </c>
      <c r="S18" s="132"/>
    </row>
    <row r="19" spans="3:19" s="161" customFormat="1" ht="18.75">
      <c r="C19" s="190"/>
      <c r="D19" s="194"/>
      <c r="E19" s="140"/>
      <c r="F19" s="158"/>
      <c r="G19" s="138"/>
      <c r="H19" s="137"/>
      <c r="I19" s="190"/>
      <c r="J19" s="140"/>
      <c r="K19" s="158"/>
      <c r="L19" s="138"/>
      <c r="M19" s="137"/>
      <c r="N19" s="190"/>
      <c r="O19" s="140"/>
      <c r="P19" s="158"/>
      <c r="Q19" s="138"/>
      <c r="R19" s="137"/>
      <c r="S19" s="132"/>
    </row>
    <row r="20" spans="3:19" s="161" customFormat="1" ht="54.75" customHeight="1">
      <c r="C20" s="190"/>
      <c r="D20" s="194"/>
      <c r="E20" s="150">
        <v>8</v>
      </c>
      <c r="F20" s="139">
        <v>42917</v>
      </c>
      <c r="G20" s="141" t="s">
        <v>915</v>
      </c>
      <c r="H20" s="137" t="s">
        <v>1575</v>
      </c>
      <c r="I20" s="190"/>
      <c r="J20" s="136">
        <v>3</v>
      </c>
      <c r="K20" s="139">
        <v>42979</v>
      </c>
      <c r="L20" s="141" t="s">
        <v>1574</v>
      </c>
      <c r="M20" s="137" t="s">
        <v>1573</v>
      </c>
      <c r="N20" s="190"/>
      <c r="O20" s="136">
        <v>11</v>
      </c>
      <c r="P20" s="139">
        <v>42948</v>
      </c>
      <c r="Q20" s="141" t="s">
        <v>589</v>
      </c>
      <c r="R20" s="137" t="s">
        <v>1572</v>
      </c>
      <c r="S20" s="132"/>
    </row>
    <row r="21" spans="3:19" s="161" customFormat="1" ht="18.75">
      <c r="C21" s="190"/>
      <c r="D21" s="194"/>
      <c r="E21" s="140"/>
      <c r="F21" s="158"/>
      <c r="G21" s="138"/>
      <c r="H21" s="137"/>
      <c r="I21" s="190"/>
      <c r="J21" s="140"/>
      <c r="K21" s="158"/>
      <c r="L21" s="138"/>
      <c r="M21" s="137"/>
      <c r="N21" s="190"/>
      <c r="O21" s="140"/>
      <c r="P21" s="158"/>
      <c r="Q21" s="138"/>
      <c r="R21" s="137"/>
      <c r="S21" s="132"/>
    </row>
    <row r="22" spans="3:19" s="161" customFormat="1" ht="45" customHeight="1">
      <c r="C22" s="190"/>
      <c r="D22" s="195"/>
      <c r="E22" s="150">
        <v>7</v>
      </c>
      <c r="F22" s="135">
        <v>42979</v>
      </c>
      <c r="G22" s="134" t="s">
        <v>1257</v>
      </c>
      <c r="H22" s="133" t="s">
        <v>1544</v>
      </c>
      <c r="I22" s="190"/>
      <c r="J22" s="140"/>
      <c r="K22" s="145"/>
      <c r="L22" s="156"/>
      <c r="M22" s="133"/>
      <c r="N22" s="190"/>
      <c r="O22" s="140"/>
      <c r="P22" s="145"/>
      <c r="Q22" s="156"/>
      <c r="R22" s="133"/>
      <c r="S22" s="132"/>
    </row>
    <row r="23" spans="3:19" s="161" customFormat="1" ht="18.75">
      <c r="C23" s="132"/>
      <c r="D23" s="132"/>
      <c r="E23" s="140"/>
      <c r="F23" s="132"/>
      <c r="G23" s="132"/>
      <c r="H23" s="132"/>
      <c r="I23" s="132"/>
      <c r="J23" s="140"/>
      <c r="K23" s="132"/>
      <c r="L23" s="132"/>
      <c r="M23" s="132"/>
      <c r="N23" s="132"/>
      <c r="O23" s="140"/>
      <c r="P23" s="132"/>
      <c r="Q23" s="132"/>
      <c r="R23" s="132"/>
      <c r="S23" s="132"/>
    </row>
    <row r="24" spans="3:19" s="161" customFormat="1" ht="18.75">
      <c r="C24" s="190">
        <v>2</v>
      </c>
      <c r="D24" s="148"/>
      <c r="E24" s="132"/>
      <c r="F24" s="147">
        <v>41883</v>
      </c>
      <c r="G24" s="138" t="s">
        <v>1046</v>
      </c>
      <c r="H24" s="138" t="s">
        <v>1045</v>
      </c>
      <c r="I24" s="190">
        <v>2</v>
      </c>
      <c r="J24" s="132"/>
      <c r="K24" s="147">
        <v>41883</v>
      </c>
      <c r="L24" s="138" t="s">
        <v>1046</v>
      </c>
      <c r="M24" s="138" t="s">
        <v>1045</v>
      </c>
      <c r="N24" s="190">
        <v>2</v>
      </c>
      <c r="O24" s="132"/>
      <c r="P24" s="147">
        <v>41883</v>
      </c>
      <c r="Q24" s="138" t="s">
        <v>1046</v>
      </c>
      <c r="R24" s="138" t="s">
        <v>1045</v>
      </c>
      <c r="S24" s="132"/>
    </row>
    <row r="25" spans="3:19" s="161" customFormat="1" ht="30" customHeight="1">
      <c r="C25" s="190"/>
      <c r="D25" s="192" t="s">
        <v>1044</v>
      </c>
      <c r="E25" s="140"/>
      <c r="F25" s="144">
        <v>41944</v>
      </c>
      <c r="G25" s="143" t="s">
        <v>1413</v>
      </c>
      <c r="H25" s="142"/>
      <c r="I25" s="190"/>
      <c r="J25" s="140"/>
      <c r="K25" s="144">
        <v>41944</v>
      </c>
      <c r="L25" s="143" t="s">
        <v>1571</v>
      </c>
      <c r="M25" s="142"/>
      <c r="N25" s="190"/>
      <c r="O25" s="140"/>
      <c r="P25" s="144">
        <v>41944</v>
      </c>
      <c r="Q25" s="143" t="s">
        <v>1570</v>
      </c>
      <c r="R25" s="142"/>
      <c r="S25" s="132"/>
    </row>
    <row r="26" spans="3:19" s="161" customFormat="1" ht="75">
      <c r="C26" s="190"/>
      <c r="D26" s="192"/>
      <c r="E26" s="140"/>
      <c r="F26" s="139">
        <v>42036</v>
      </c>
      <c r="G26" s="141" t="s">
        <v>1543</v>
      </c>
      <c r="H26" s="137" t="s">
        <v>1569</v>
      </c>
      <c r="I26" s="190"/>
      <c r="J26" s="140"/>
      <c r="K26" s="139">
        <v>42036</v>
      </c>
      <c r="L26" s="141" t="s">
        <v>1568</v>
      </c>
      <c r="M26" s="137" t="s">
        <v>1567</v>
      </c>
      <c r="N26" s="190"/>
      <c r="O26" s="140"/>
      <c r="P26" s="139">
        <v>42186</v>
      </c>
      <c r="Q26" s="141" t="s">
        <v>1566</v>
      </c>
      <c r="R26" s="137" t="s">
        <v>1565</v>
      </c>
      <c r="S26" s="132"/>
    </row>
    <row r="27" spans="3:19" s="161" customFormat="1" ht="15" customHeight="1">
      <c r="C27" s="190"/>
      <c r="D27" s="192"/>
      <c r="E27" s="140"/>
      <c r="F27" s="139"/>
      <c r="G27" s="138"/>
      <c r="H27" s="137"/>
      <c r="I27" s="190"/>
      <c r="J27" s="140"/>
      <c r="K27" s="158"/>
      <c r="L27" s="138"/>
      <c r="M27" s="137"/>
      <c r="N27" s="190"/>
      <c r="O27" s="140"/>
      <c r="P27" s="139"/>
      <c r="Q27" s="138"/>
      <c r="R27" s="137"/>
      <c r="S27" s="132"/>
    </row>
    <row r="28" spans="3:19" s="161" customFormat="1" ht="75">
      <c r="C28" s="190"/>
      <c r="D28" s="192"/>
      <c r="E28" s="140"/>
      <c r="F28" s="139">
        <v>75089</v>
      </c>
      <c r="G28" s="141" t="s">
        <v>1364</v>
      </c>
      <c r="H28" s="137" t="s">
        <v>1564</v>
      </c>
      <c r="I28" s="190"/>
      <c r="J28" s="140"/>
      <c r="K28" s="139">
        <v>42156</v>
      </c>
      <c r="L28" s="141" t="s">
        <v>1563</v>
      </c>
      <c r="M28" s="137" t="s">
        <v>1562</v>
      </c>
      <c r="N28" s="190"/>
      <c r="O28" s="140"/>
      <c r="P28" s="139"/>
      <c r="Q28" s="138"/>
      <c r="R28" s="137"/>
      <c r="S28" s="132"/>
    </row>
    <row r="29" spans="3:19" s="161" customFormat="1" ht="18.75">
      <c r="C29" s="190"/>
      <c r="D29" s="192"/>
      <c r="E29" s="140"/>
      <c r="F29" s="139">
        <v>42309</v>
      </c>
      <c r="G29" s="138" t="s">
        <v>1183</v>
      </c>
      <c r="H29" s="137"/>
      <c r="I29" s="190"/>
      <c r="J29" s="140"/>
      <c r="K29" s="158"/>
      <c r="L29" s="138"/>
      <c r="M29" s="137"/>
      <c r="N29" s="190"/>
      <c r="O29" s="140"/>
      <c r="P29" s="158"/>
      <c r="Q29" s="138"/>
      <c r="R29" s="137"/>
      <c r="S29" s="132"/>
    </row>
    <row r="30" spans="3:19" s="161" customFormat="1" ht="45">
      <c r="C30" s="190"/>
      <c r="D30" s="192"/>
      <c r="E30" s="140"/>
      <c r="F30" s="145"/>
      <c r="G30" s="156"/>
      <c r="H30" s="133"/>
      <c r="I30" s="190"/>
      <c r="J30" s="140"/>
      <c r="K30" s="135">
        <v>42248</v>
      </c>
      <c r="L30" s="134" t="s">
        <v>1561</v>
      </c>
      <c r="M30" s="133" t="s">
        <v>1560</v>
      </c>
      <c r="N30" s="190"/>
      <c r="O30" s="140"/>
      <c r="P30" s="145"/>
      <c r="Q30" s="156"/>
      <c r="R30" s="133"/>
      <c r="S30" s="132"/>
    </row>
    <row r="31" spans="3:19" s="161" customFormat="1" ht="18.75" customHeight="1">
      <c r="C31" s="190"/>
      <c r="D31" s="192" t="s">
        <v>1034</v>
      </c>
      <c r="E31" s="140"/>
      <c r="F31" s="144">
        <v>42309</v>
      </c>
      <c r="G31" s="143" t="s">
        <v>1355</v>
      </c>
      <c r="H31" s="142"/>
      <c r="I31" s="190"/>
      <c r="J31" s="140"/>
      <c r="K31" s="144">
        <v>42339</v>
      </c>
      <c r="L31" s="143" t="s">
        <v>1355</v>
      </c>
      <c r="M31" s="142"/>
      <c r="N31" s="190"/>
      <c r="O31" s="140"/>
      <c r="P31" s="144">
        <v>42309</v>
      </c>
      <c r="Q31" s="143" t="s">
        <v>1355</v>
      </c>
      <c r="R31" s="142"/>
      <c r="S31" s="132"/>
    </row>
    <row r="32" spans="3:19" s="161" customFormat="1" ht="18.75">
      <c r="C32" s="190"/>
      <c r="D32" s="192"/>
      <c r="E32" s="140"/>
      <c r="F32" s="139">
        <v>42370</v>
      </c>
      <c r="G32" s="138" t="s">
        <v>1306</v>
      </c>
      <c r="H32" s="137"/>
      <c r="I32" s="190"/>
      <c r="J32" s="140"/>
      <c r="K32" s="139">
        <v>42401</v>
      </c>
      <c r="L32" s="138" t="s">
        <v>1306</v>
      </c>
      <c r="M32" s="137"/>
      <c r="N32" s="190"/>
      <c r="O32" s="140"/>
      <c r="P32" s="158"/>
      <c r="Q32" s="138"/>
      <c r="R32" s="137"/>
      <c r="S32" s="132"/>
    </row>
    <row r="33" spans="3:19" s="161" customFormat="1" ht="60">
      <c r="C33" s="190"/>
      <c r="D33" s="192"/>
      <c r="E33" s="140"/>
      <c r="F33" s="139">
        <v>42401</v>
      </c>
      <c r="G33" s="141" t="s">
        <v>1559</v>
      </c>
      <c r="H33" s="137" t="s">
        <v>1558</v>
      </c>
      <c r="I33" s="190"/>
      <c r="J33" s="140"/>
      <c r="K33" s="139">
        <v>42430</v>
      </c>
      <c r="L33" s="141" t="s">
        <v>1557</v>
      </c>
      <c r="M33" s="137" t="s">
        <v>1556</v>
      </c>
      <c r="N33" s="190"/>
      <c r="O33" s="140"/>
      <c r="P33" s="139">
        <v>42461</v>
      </c>
      <c r="Q33" s="141" t="s">
        <v>1555</v>
      </c>
      <c r="R33" s="137" t="s">
        <v>1554</v>
      </c>
      <c r="S33" s="132"/>
    </row>
    <row r="34" spans="3:19" s="161" customFormat="1" ht="18.75">
      <c r="C34" s="190"/>
      <c r="D34" s="192"/>
      <c r="E34" s="140"/>
      <c r="F34" s="158"/>
      <c r="G34" s="138"/>
      <c r="H34" s="137"/>
      <c r="I34" s="190"/>
      <c r="J34" s="140"/>
      <c r="K34" s="158"/>
      <c r="L34" s="138"/>
      <c r="M34" s="137"/>
      <c r="N34" s="190"/>
      <c r="O34" s="140"/>
      <c r="P34" s="158"/>
      <c r="Q34" s="138"/>
      <c r="R34" s="137"/>
      <c r="S34" s="132"/>
    </row>
    <row r="35" spans="3:19" s="161" customFormat="1" ht="45">
      <c r="C35" s="190"/>
      <c r="D35" s="192"/>
      <c r="E35" s="140"/>
      <c r="F35" s="135">
        <v>42552</v>
      </c>
      <c r="G35" s="134" t="s">
        <v>1395</v>
      </c>
      <c r="H35" s="133" t="s">
        <v>1532</v>
      </c>
      <c r="I35" s="190"/>
      <c r="J35" s="140"/>
      <c r="K35" s="135">
        <v>42552</v>
      </c>
      <c r="L35" s="134" t="s">
        <v>1553</v>
      </c>
      <c r="M35" s="133" t="s">
        <v>1552</v>
      </c>
      <c r="N35" s="190"/>
      <c r="O35" s="140"/>
      <c r="P35" s="135">
        <v>42583</v>
      </c>
      <c r="Q35" s="134" t="s">
        <v>1529</v>
      </c>
      <c r="R35" s="133" t="s">
        <v>1528</v>
      </c>
      <c r="S35" s="132"/>
    </row>
    <row r="36" spans="3:19" s="161" customFormat="1" ht="18.75">
      <c r="C36" s="190"/>
      <c r="D36" s="193" t="s">
        <v>1021</v>
      </c>
      <c r="E36" s="140"/>
      <c r="F36" s="144">
        <v>42705</v>
      </c>
      <c r="G36" s="143" t="s">
        <v>1387</v>
      </c>
      <c r="H36" s="142"/>
      <c r="I36" s="190"/>
      <c r="J36" s="140"/>
      <c r="K36" s="144">
        <v>42705</v>
      </c>
      <c r="L36" s="143" t="s">
        <v>1387</v>
      </c>
      <c r="M36" s="142"/>
      <c r="N36" s="190"/>
      <c r="O36" s="140"/>
      <c r="P36" s="144">
        <v>42705</v>
      </c>
      <c r="Q36" s="143" t="s">
        <v>1387</v>
      </c>
      <c r="R36" s="142"/>
      <c r="S36" s="132"/>
    </row>
    <row r="37" spans="3:19" s="161" customFormat="1" ht="96.75" customHeight="1">
      <c r="C37" s="190"/>
      <c r="D37" s="194"/>
      <c r="E37" s="136">
        <v>8</v>
      </c>
      <c r="F37" s="139">
        <v>42736</v>
      </c>
      <c r="G37" s="141" t="s">
        <v>1467</v>
      </c>
      <c r="H37" s="137" t="s">
        <v>1527</v>
      </c>
      <c r="I37" s="190"/>
      <c r="J37" s="136">
        <v>8</v>
      </c>
      <c r="K37" s="139">
        <v>42767</v>
      </c>
      <c r="L37" s="141" t="s">
        <v>1551</v>
      </c>
      <c r="M37" s="137" t="s">
        <v>1550</v>
      </c>
      <c r="N37" s="190"/>
      <c r="O37" s="136">
        <v>10</v>
      </c>
      <c r="P37" s="139">
        <v>42767</v>
      </c>
      <c r="Q37" s="141" t="s">
        <v>1465</v>
      </c>
      <c r="R37" s="137" t="s">
        <v>1464</v>
      </c>
      <c r="S37" s="132"/>
    </row>
    <row r="38" spans="3:19" s="161" customFormat="1" ht="18.75">
      <c r="C38" s="190"/>
      <c r="D38" s="194"/>
      <c r="E38" s="140"/>
      <c r="F38" s="158"/>
      <c r="G38" s="138"/>
      <c r="H38" s="137"/>
      <c r="I38" s="190"/>
      <c r="J38" s="140"/>
      <c r="K38" s="158"/>
      <c r="L38" s="138"/>
      <c r="M38" s="137"/>
      <c r="N38" s="190"/>
      <c r="O38" s="140"/>
      <c r="P38" s="158"/>
      <c r="Q38" s="138"/>
      <c r="R38" s="137"/>
      <c r="S38" s="132"/>
    </row>
    <row r="39" spans="3:19" s="161" customFormat="1" ht="63" customHeight="1">
      <c r="C39" s="190"/>
      <c r="D39" s="194"/>
      <c r="E39" s="136">
        <v>15</v>
      </c>
      <c r="F39" s="139">
        <v>42917</v>
      </c>
      <c r="G39" s="141" t="s">
        <v>1549</v>
      </c>
      <c r="H39" s="137" t="s">
        <v>1491</v>
      </c>
      <c r="I39" s="190"/>
      <c r="J39" s="136">
        <v>5</v>
      </c>
      <c r="K39" s="139">
        <v>42979</v>
      </c>
      <c r="L39" s="141" t="s">
        <v>1548</v>
      </c>
      <c r="M39" s="137" t="s">
        <v>1547</v>
      </c>
      <c r="N39" s="190"/>
      <c r="O39" s="136">
        <v>9</v>
      </c>
      <c r="P39" s="139">
        <v>42948</v>
      </c>
      <c r="Q39" s="141" t="s">
        <v>1546</v>
      </c>
      <c r="R39" s="137" t="s">
        <v>1545</v>
      </c>
      <c r="S39" s="132"/>
    </row>
    <row r="40" spans="3:19" s="161" customFormat="1" ht="18.75">
      <c r="C40" s="190"/>
      <c r="D40" s="194"/>
      <c r="E40" s="140"/>
      <c r="F40" s="158"/>
      <c r="G40" s="138"/>
      <c r="H40" s="137"/>
      <c r="I40" s="190"/>
      <c r="J40" s="140"/>
      <c r="K40" s="158"/>
      <c r="L40" s="138"/>
      <c r="M40" s="137"/>
      <c r="N40" s="190"/>
      <c r="O40" s="140"/>
      <c r="P40" s="158"/>
      <c r="Q40" s="138"/>
      <c r="R40" s="137"/>
      <c r="S40" s="132"/>
    </row>
    <row r="41" spans="3:19" s="161" customFormat="1" ht="60.75" customHeight="1">
      <c r="C41" s="190"/>
      <c r="D41" s="195"/>
      <c r="E41" s="136">
        <v>7</v>
      </c>
      <c r="F41" s="135">
        <v>42979</v>
      </c>
      <c r="G41" s="134" t="s">
        <v>1257</v>
      </c>
      <c r="H41" s="133" t="s">
        <v>1544</v>
      </c>
      <c r="I41" s="190"/>
      <c r="J41" s="140"/>
      <c r="K41" s="145"/>
      <c r="L41" s="156"/>
      <c r="M41" s="133"/>
      <c r="N41" s="190"/>
      <c r="O41" s="140"/>
      <c r="P41" s="145"/>
      <c r="Q41" s="156"/>
      <c r="R41" s="133"/>
      <c r="S41" s="132"/>
    </row>
    <row r="42" spans="3:19" s="161" customFormat="1" ht="18.75">
      <c r="C42" s="132"/>
      <c r="D42" s="132"/>
      <c r="E42" s="140"/>
      <c r="F42" s="132"/>
      <c r="G42" s="132"/>
      <c r="H42" s="132"/>
      <c r="I42" s="132"/>
      <c r="J42" s="140"/>
      <c r="K42" s="132"/>
      <c r="L42" s="132"/>
      <c r="M42" s="132"/>
      <c r="N42" s="132"/>
      <c r="O42" s="140"/>
      <c r="P42" s="132"/>
      <c r="Q42" s="132"/>
      <c r="R42" s="132"/>
      <c r="S42" s="132"/>
    </row>
    <row r="43" spans="3:19" s="161" customFormat="1" ht="18.75">
      <c r="C43" s="190">
        <v>3</v>
      </c>
      <c r="D43" s="148"/>
      <c r="E43" s="140"/>
      <c r="F43" s="147">
        <v>41883</v>
      </c>
      <c r="G43" s="138" t="s">
        <v>1046</v>
      </c>
      <c r="H43" s="138" t="s">
        <v>1045</v>
      </c>
      <c r="I43" s="190">
        <v>3</v>
      </c>
      <c r="J43" s="140"/>
      <c r="K43" s="147">
        <v>41883</v>
      </c>
      <c r="L43" s="138" t="s">
        <v>1046</v>
      </c>
      <c r="M43" s="138" t="s">
        <v>1045</v>
      </c>
      <c r="N43" s="190">
        <v>3</v>
      </c>
      <c r="O43" s="140"/>
      <c r="P43" s="147">
        <v>41883</v>
      </c>
      <c r="Q43" s="138" t="s">
        <v>1046</v>
      </c>
      <c r="R43" s="138" t="s">
        <v>1045</v>
      </c>
      <c r="S43" s="132"/>
    </row>
    <row r="44" spans="3:19" s="161" customFormat="1" ht="30" customHeight="1">
      <c r="C44" s="190"/>
      <c r="D44" s="192" t="s">
        <v>1044</v>
      </c>
      <c r="E44" s="140"/>
      <c r="F44" s="144">
        <v>41944</v>
      </c>
      <c r="G44" s="143" t="s">
        <v>1459</v>
      </c>
      <c r="H44" s="142"/>
      <c r="I44" s="190"/>
      <c r="J44" s="140"/>
      <c r="K44" s="144">
        <v>41944</v>
      </c>
      <c r="L44" s="143" t="s">
        <v>1518</v>
      </c>
      <c r="M44" s="142"/>
      <c r="N44" s="190"/>
      <c r="O44" s="140"/>
      <c r="P44" s="144">
        <v>41944</v>
      </c>
      <c r="Q44" s="143" t="s">
        <v>1517</v>
      </c>
      <c r="R44" s="142"/>
      <c r="S44" s="132"/>
    </row>
    <row r="45" spans="3:19" s="161" customFormat="1" ht="60">
      <c r="C45" s="190"/>
      <c r="D45" s="192"/>
      <c r="E45" s="140"/>
      <c r="F45" s="139">
        <v>42036</v>
      </c>
      <c r="G45" s="141" t="s">
        <v>1543</v>
      </c>
      <c r="H45" s="137" t="s">
        <v>1542</v>
      </c>
      <c r="I45" s="190"/>
      <c r="J45" s="140"/>
      <c r="K45" s="139">
        <v>42095</v>
      </c>
      <c r="L45" s="141" t="s">
        <v>1541</v>
      </c>
      <c r="M45" s="137" t="s">
        <v>1540</v>
      </c>
      <c r="N45" s="190"/>
      <c r="O45" s="140"/>
      <c r="P45" s="139">
        <v>42064</v>
      </c>
      <c r="Q45" s="141" t="s">
        <v>1513</v>
      </c>
      <c r="R45" s="137" t="s">
        <v>1539</v>
      </c>
      <c r="S45" s="132"/>
    </row>
    <row r="46" spans="3:19" s="161" customFormat="1" ht="15" customHeight="1">
      <c r="C46" s="190"/>
      <c r="D46" s="192"/>
      <c r="E46" s="132"/>
      <c r="F46" s="139"/>
      <c r="G46" s="138"/>
      <c r="H46" s="137"/>
      <c r="I46" s="190"/>
      <c r="J46" s="132"/>
      <c r="K46" s="139"/>
      <c r="L46" s="138"/>
      <c r="M46" s="137"/>
      <c r="N46" s="190"/>
      <c r="O46" s="132"/>
      <c r="P46" s="158"/>
      <c r="Q46" s="138"/>
      <c r="R46" s="137"/>
      <c r="S46" s="132"/>
    </row>
    <row r="47" spans="3:19" s="161" customFormat="1" ht="75">
      <c r="C47" s="190"/>
      <c r="D47" s="192"/>
      <c r="E47" s="140"/>
      <c r="F47" s="139">
        <v>42248</v>
      </c>
      <c r="G47" s="141" t="s">
        <v>1064</v>
      </c>
      <c r="H47" s="137" t="s">
        <v>1538</v>
      </c>
      <c r="I47" s="190"/>
      <c r="J47" s="140"/>
      <c r="K47" s="139">
        <v>42186</v>
      </c>
      <c r="L47" s="141" t="s">
        <v>1537</v>
      </c>
      <c r="M47" s="137" t="s">
        <v>1536</v>
      </c>
      <c r="N47" s="190"/>
      <c r="O47" s="140"/>
      <c r="P47" s="139">
        <v>42248</v>
      </c>
      <c r="Q47" s="141" t="s">
        <v>1277</v>
      </c>
      <c r="R47" s="137" t="s">
        <v>1509</v>
      </c>
      <c r="S47" s="132"/>
    </row>
    <row r="48" spans="3:19" s="161" customFormat="1" ht="15" customHeight="1">
      <c r="C48" s="190"/>
      <c r="D48" s="192"/>
      <c r="E48" s="140"/>
      <c r="F48" s="139"/>
      <c r="G48" s="138"/>
      <c r="H48" s="137"/>
      <c r="I48" s="190"/>
      <c r="J48" s="140"/>
      <c r="K48" s="139"/>
      <c r="L48" s="138"/>
      <c r="M48" s="137"/>
      <c r="N48" s="190"/>
      <c r="O48" s="140"/>
      <c r="P48" s="158"/>
      <c r="Q48" s="138"/>
      <c r="R48" s="137"/>
      <c r="S48" s="132"/>
    </row>
    <row r="49" spans="3:19" s="161" customFormat="1" ht="45">
      <c r="C49" s="190"/>
      <c r="D49" s="192"/>
      <c r="E49" s="140"/>
      <c r="F49" s="145"/>
      <c r="G49" s="156"/>
      <c r="H49" s="133"/>
      <c r="I49" s="190"/>
      <c r="J49" s="140"/>
      <c r="K49" s="135">
        <v>42248</v>
      </c>
      <c r="L49" s="134" t="s">
        <v>1508</v>
      </c>
      <c r="M49" s="133" t="s">
        <v>1507</v>
      </c>
      <c r="N49" s="190"/>
      <c r="O49" s="140"/>
      <c r="P49" s="145"/>
      <c r="Q49" s="156"/>
      <c r="R49" s="133"/>
      <c r="S49" s="132"/>
    </row>
    <row r="50" spans="3:19" s="161" customFormat="1" ht="18.75">
      <c r="C50" s="190"/>
      <c r="D50" s="192" t="s">
        <v>1034</v>
      </c>
      <c r="E50" s="140"/>
      <c r="F50" s="144">
        <v>42339</v>
      </c>
      <c r="G50" s="143" t="s">
        <v>1355</v>
      </c>
      <c r="H50" s="142"/>
      <c r="I50" s="190"/>
      <c r="J50" s="140"/>
      <c r="K50" s="144">
        <v>42401</v>
      </c>
      <c r="L50" s="143" t="s">
        <v>1355</v>
      </c>
      <c r="M50" s="142"/>
      <c r="N50" s="190"/>
      <c r="O50" s="140"/>
      <c r="P50" s="146"/>
      <c r="Q50" s="143"/>
      <c r="R50" s="142"/>
      <c r="S50" s="132"/>
    </row>
    <row r="51" spans="3:19" s="161" customFormat="1" ht="18.75">
      <c r="C51" s="190"/>
      <c r="D51" s="192"/>
      <c r="E51" s="140"/>
      <c r="F51" s="139">
        <v>42370</v>
      </c>
      <c r="G51" s="138" t="s">
        <v>1306</v>
      </c>
      <c r="H51" s="137"/>
      <c r="I51" s="190"/>
      <c r="J51" s="140"/>
      <c r="K51" s="139"/>
      <c r="L51" s="138"/>
      <c r="M51" s="137"/>
      <c r="N51" s="190"/>
      <c r="O51" s="140"/>
      <c r="P51" s="158"/>
      <c r="Q51" s="138"/>
      <c r="R51" s="137"/>
      <c r="S51" s="132"/>
    </row>
    <row r="52" spans="3:19" s="161" customFormat="1" ht="90">
      <c r="C52" s="190"/>
      <c r="D52" s="192"/>
      <c r="E52" s="140"/>
      <c r="F52" s="139">
        <v>42461</v>
      </c>
      <c r="G52" s="141" t="s">
        <v>1535</v>
      </c>
      <c r="H52" s="137" t="s">
        <v>1534</v>
      </c>
      <c r="I52" s="190"/>
      <c r="J52" s="140"/>
      <c r="K52" s="139">
        <v>42430</v>
      </c>
      <c r="L52" s="141" t="s">
        <v>1503</v>
      </c>
      <c r="M52" s="137" t="s">
        <v>1533</v>
      </c>
      <c r="N52" s="190"/>
      <c r="O52" s="140"/>
      <c r="P52" s="139">
        <v>42461</v>
      </c>
      <c r="Q52" s="141" t="s">
        <v>1501</v>
      </c>
      <c r="R52" s="137" t="s">
        <v>1500</v>
      </c>
      <c r="S52" s="132"/>
    </row>
    <row r="53" spans="3:19" s="161" customFormat="1" ht="18.75">
      <c r="C53" s="190"/>
      <c r="D53" s="192"/>
      <c r="E53" s="140"/>
      <c r="F53" s="158"/>
      <c r="G53" s="138"/>
      <c r="H53" s="137"/>
      <c r="I53" s="190"/>
      <c r="J53" s="140"/>
      <c r="K53" s="158"/>
      <c r="L53" s="138"/>
      <c r="M53" s="137"/>
      <c r="N53" s="190"/>
      <c r="O53" s="140"/>
      <c r="P53" s="158"/>
      <c r="Q53" s="138"/>
      <c r="R53" s="137"/>
      <c r="S53" s="132"/>
    </row>
    <row r="54" spans="3:19" s="161" customFormat="1" ht="60">
      <c r="C54" s="190"/>
      <c r="D54" s="192"/>
      <c r="E54" s="140"/>
      <c r="F54" s="135">
        <v>42552</v>
      </c>
      <c r="G54" s="134" t="s">
        <v>1395</v>
      </c>
      <c r="H54" s="133" t="s">
        <v>1532</v>
      </c>
      <c r="I54" s="190"/>
      <c r="J54" s="140"/>
      <c r="K54" s="135">
        <v>42430</v>
      </c>
      <c r="L54" s="134" t="s">
        <v>1531</v>
      </c>
      <c r="M54" s="133" t="s">
        <v>1530</v>
      </c>
      <c r="N54" s="190"/>
      <c r="O54" s="140"/>
      <c r="P54" s="135">
        <v>42583</v>
      </c>
      <c r="Q54" s="134" t="s">
        <v>1529</v>
      </c>
      <c r="R54" s="133" t="s">
        <v>1528</v>
      </c>
      <c r="S54" s="132"/>
    </row>
    <row r="55" spans="3:19" s="161" customFormat="1" ht="18.75">
      <c r="C55" s="190"/>
      <c r="D55" s="193" t="s">
        <v>1021</v>
      </c>
      <c r="E55" s="140"/>
      <c r="F55" s="144">
        <v>42705</v>
      </c>
      <c r="G55" s="143" t="s">
        <v>1387</v>
      </c>
      <c r="H55" s="142"/>
      <c r="I55" s="190"/>
      <c r="J55" s="140"/>
      <c r="K55" s="144">
        <v>42705</v>
      </c>
      <c r="L55" s="143" t="s">
        <v>1387</v>
      </c>
      <c r="M55" s="142"/>
      <c r="N55" s="190"/>
      <c r="O55" s="140"/>
      <c r="P55" s="144">
        <v>42705</v>
      </c>
      <c r="Q55" s="143" t="s">
        <v>1387</v>
      </c>
      <c r="R55" s="142"/>
      <c r="S55" s="132"/>
    </row>
    <row r="56" spans="3:19" s="161" customFormat="1" ht="96.75" customHeight="1">
      <c r="C56" s="190"/>
      <c r="D56" s="194"/>
      <c r="E56" s="136">
        <v>8</v>
      </c>
      <c r="F56" s="139">
        <v>42736</v>
      </c>
      <c r="G56" s="141" t="s">
        <v>1467</v>
      </c>
      <c r="H56" s="137" t="s">
        <v>1527</v>
      </c>
      <c r="I56" s="190"/>
      <c r="J56" s="136">
        <v>8</v>
      </c>
      <c r="K56" s="139">
        <v>42795</v>
      </c>
      <c r="L56" s="141" t="s">
        <v>1526</v>
      </c>
      <c r="M56" s="137" t="s">
        <v>1493</v>
      </c>
      <c r="N56" s="190"/>
      <c r="O56" s="136">
        <v>10</v>
      </c>
      <c r="P56" s="139">
        <v>42767</v>
      </c>
      <c r="Q56" s="141" t="s">
        <v>1465</v>
      </c>
      <c r="R56" s="137" t="s">
        <v>1464</v>
      </c>
      <c r="S56" s="132"/>
    </row>
    <row r="57" spans="3:19" s="161" customFormat="1" ht="18.75">
      <c r="C57" s="190"/>
      <c r="D57" s="194"/>
      <c r="E57" s="140"/>
      <c r="F57" s="158"/>
      <c r="G57" s="138"/>
      <c r="H57" s="137"/>
      <c r="I57" s="190"/>
      <c r="J57" s="140"/>
      <c r="K57" s="158"/>
      <c r="L57" s="138"/>
      <c r="M57" s="137"/>
      <c r="N57" s="190"/>
      <c r="O57" s="140"/>
      <c r="P57" s="158"/>
      <c r="Q57" s="138"/>
      <c r="R57" s="137"/>
      <c r="S57" s="132"/>
    </row>
    <row r="58" spans="3:19" s="161" customFormat="1" ht="88.5" customHeight="1">
      <c r="C58" s="190"/>
      <c r="D58" s="194"/>
      <c r="E58" s="136">
        <v>15</v>
      </c>
      <c r="F58" s="139">
        <v>42917</v>
      </c>
      <c r="G58" s="141" t="s">
        <v>1525</v>
      </c>
      <c r="H58" s="137" t="s">
        <v>1524</v>
      </c>
      <c r="I58" s="190"/>
      <c r="J58" s="136">
        <v>11</v>
      </c>
      <c r="K58" s="139">
        <v>42917</v>
      </c>
      <c r="L58" s="141" t="s">
        <v>1523</v>
      </c>
      <c r="M58" s="137" t="s">
        <v>1522</v>
      </c>
      <c r="N58" s="190"/>
      <c r="O58" s="136">
        <v>4</v>
      </c>
      <c r="P58" s="139">
        <v>42948</v>
      </c>
      <c r="Q58" s="141" t="s">
        <v>1463</v>
      </c>
      <c r="R58" s="137" t="s">
        <v>1521</v>
      </c>
      <c r="S58" s="132"/>
    </row>
    <row r="59" spans="3:19" s="161" customFormat="1" ht="18.75">
      <c r="C59" s="190"/>
      <c r="D59" s="194"/>
      <c r="E59" s="140"/>
      <c r="F59" s="158"/>
      <c r="G59" s="138"/>
      <c r="H59" s="137"/>
      <c r="I59" s="190"/>
      <c r="J59" s="140"/>
      <c r="K59" s="158"/>
      <c r="L59" s="138"/>
      <c r="M59" s="137"/>
      <c r="N59" s="190"/>
      <c r="O59" s="140"/>
      <c r="P59" s="158"/>
      <c r="Q59" s="138"/>
      <c r="R59" s="137"/>
      <c r="S59" s="132"/>
    </row>
    <row r="60" spans="3:19" s="161" customFormat="1" ht="58.5" customHeight="1">
      <c r="C60" s="190"/>
      <c r="D60" s="195"/>
      <c r="E60" s="136">
        <v>7</v>
      </c>
      <c r="F60" s="135">
        <v>42979</v>
      </c>
      <c r="G60" s="134" t="s">
        <v>1257</v>
      </c>
      <c r="H60" s="133" t="s">
        <v>1520</v>
      </c>
      <c r="I60" s="190"/>
      <c r="J60" s="140"/>
      <c r="K60" s="145"/>
      <c r="L60" s="156"/>
      <c r="M60" s="133"/>
      <c r="N60" s="190"/>
      <c r="O60" s="140"/>
      <c r="P60" s="145"/>
      <c r="Q60" s="156"/>
      <c r="R60" s="133"/>
      <c r="S60" s="132"/>
    </row>
    <row r="61" spans="3:19" s="161" customFormat="1" ht="18.75">
      <c r="C61" s="132"/>
      <c r="D61" s="132"/>
      <c r="E61" s="140"/>
      <c r="F61" s="132"/>
      <c r="G61" s="132"/>
      <c r="H61" s="132"/>
      <c r="I61" s="132"/>
      <c r="J61" s="140"/>
      <c r="K61" s="132"/>
      <c r="L61" s="132"/>
      <c r="M61" s="132"/>
      <c r="N61" s="132"/>
      <c r="O61" s="140"/>
      <c r="P61" s="132"/>
      <c r="Q61" s="132"/>
      <c r="R61" s="132"/>
      <c r="S61" s="132"/>
    </row>
    <row r="62" spans="3:19" s="161" customFormat="1" ht="18.75">
      <c r="C62" s="190">
        <v>4</v>
      </c>
      <c r="D62" s="148"/>
      <c r="E62" s="140"/>
      <c r="F62" s="147">
        <v>41883</v>
      </c>
      <c r="G62" s="138" t="s">
        <v>1046</v>
      </c>
      <c r="H62" s="138" t="s">
        <v>1045</v>
      </c>
      <c r="I62" s="190">
        <v>4</v>
      </c>
      <c r="J62" s="140"/>
      <c r="K62" s="147">
        <v>41883</v>
      </c>
      <c r="L62" s="138" t="s">
        <v>1046</v>
      </c>
      <c r="M62" s="138" t="s">
        <v>1045</v>
      </c>
      <c r="N62" s="190">
        <v>4</v>
      </c>
      <c r="O62" s="140"/>
      <c r="P62" s="147">
        <v>41883</v>
      </c>
      <c r="Q62" s="138" t="s">
        <v>1046</v>
      </c>
      <c r="R62" s="138" t="s">
        <v>1045</v>
      </c>
      <c r="S62" s="132"/>
    </row>
    <row r="63" spans="3:19" s="161" customFormat="1" ht="30" customHeight="1">
      <c r="C63" s="190"/>
      <c r="D63" s="192" t="s">
        <v>1044</v>
      </c>
      <c r="E63" s="140"/>
      <c r="F63" s="144">
        <v>41944</v>
      </c>
      <c r="G63" s="143" t="s">
        <v>1519</v>
      </c>
      <c r="H63" s="142"/>
      <c r="I63" s="190"/>
      <c r="J63" s="140"/>
      <c r="K63" s="144">
        <v>41944</v>
      </c>
      <c r="L63" s="143" t="s">
        <v>1518</v>
      </c>
      <c r="M63" s="142"/>
      <c r="N63" s="190"/>
      <c r="O63" s="140"/>
      <c r="P63" s="144">
        <v>41944</v>
      </c>
      <c r="Q63" s="143" t="s">
        <v>1517</v>
      </c>
      <c r="R63" s="142"/>
      <c r="S63" s="132"/>
    </row>
    <row r="64" spans="3:19" s="161" customFormat="1" ht="60">
      <c r="C64" s="190"/>
      <c r="D64" s="192"/>
      <c r="E64" s="140"/>
      <c r="F64" s="139">
        <v>42036</v>
      </c>
      <c r="G64" s="141" t="s">
        <v>1516</v>
      </c>
      <c r="H64" s="137" t="s">
        <v>1515</v>
      </c>
      <c r="I64" s="190"/>
      <c r="J64" s="140"/>
      <c r="K64" s="139">
        <v>42125</v>
      </c>
      <c r="L64" s="141" t="s">
        <v>1193</v>
      </c>
      <c r="M64" s="137" t="s">
        <v>1514</v>
      </c>
      <c r="N64" s="190"/>
      <c r="O64" s="140"/>
      <c r="P64" s="139">
        <v>42064</v>
      </c>
      <c r="Q64" s="141" t="s">
        <v>1513</v>
      </c>
      <c r="R64" s="137" t="s">
        <v>1512</v>
      </c>
      <c r="S64" s="132"/>
    </row>
    <row r="65" spans="3:19" s="161" customFormat="1" ht="15" customHeight="1">
      <c r="C65" s="190"/>
      <c r="D65" s="192"/>
      <c r="E65" s="140"/>
      <c r="F65" s="139"/>
      <c r="G65" s="138"/>
      <c r="H65" s="137"/>
      <c r="I65" s="190"/>
      <c r="J65" s="140"/>
      <c r="K65" s="139"/>
      <c r="L65" s="138"/>
      <c r="M65" s="137"/>
      <c r="N65" s="190"/>
      <c r="O65" s="140"/>
      <c r="P65" s="139"/>
      <c r="Q65" s="138"/>
      <c r="R65" s="137"/>
      <c r="S65" s="132"/>
    </row>
    <row r="66" spans="3:19" s="161" customFormat="1" ht="60">
      <c r="C66" s="190"/>
      <c r="D66" s="192"/>
      <c r="E66" s="140"/>
      <c r="F66" s="139">
        <v>42248</v>
      </c>
      <c r="G66" s="141" t="s">
        <v>1064</v>
      </c>
      <c r="H66" s="137"/>
      <c r="I66" s="190"/>
      <c r="J66" s="140"/>
      <c r="K66" s="139">
        <v>42186</v>
      </c>
      <c r="L66" s="141" t="s">
        <v>917</v>
      </c>
      <c r="M66" s="137" t="s">
        <v>1511</v>
      </c>
      <c r="N66" s="190"/>
      <c r="O66" s="140"/>
      <c r="P66" s="139">
        <v>42248</v>
      </c>
      <c r="Q66" s="141" t="s">
        <v>1510</v>
      </c>
      <c r="R66" s="137" t="s">
        <v>1509</v>
      </c>
      <c r="S66" s="132"/>
    </row>
    <row r="67" spans="3:19" s="161" customFormat="1" ht="15" customHeight="1">
      <c r="C67" s="190"/>
      <c r="D67" s="192"/>
      <c r="E67" s="132"/>
      <c r="F67" s="158"/>
      <c r="G67" s="138"/>
      <c r="H67" s="137"/>
      <c r="I67" s="190"/>
      <c r="J67" s="132"/>
      <c r="K67" s="158"/>
      <c r="L67" s="138"/>
      <c r="M67" s="137"/>
      <c r="N67" s="190"/>
      <c r="O67" s="132"/>
      <c r="P67" s="158"/>
      <c r="Q67" s="138"/>
      <c r="R67" s="137"/>
      <c r="S67" s="132"/>
    </row>
    <row r="68" spans="3:19" s="161" customFormat="1" ht="45">
      <c r="C68" s="190"/>
      <c r="D68" s="192"/>
      <c r="E68" s="140"/>
      <c r="F68" s="145"/>
      <c r="G68" s="156"/>
      <c r="H68" s="133"/>
      <c r="I68" s="190"/>
      <c r="J68" s="140"/>
      <c r="K68" s="135">
        <v>42248</v>
      </c>
      <c r="L68" s="134" t="s">
        <v>1508</v>
      </c>
      <c r="M68" s="133" t="s">
        <v>1507</v>
      </c>
      <c r="N68" s="190"/>
      <c r="O68" s="140"/>
      <c r="P68" s="145"/>
      <c r="Q68" s="156"/>
      <c r="R68" s="133"/>
      <c r="S68" s="132"/>
    </row>
    <row r="69" spans="3:19" s="161" customFormat="1" ht="18.75" customHeight="1">
      <c r="C69" s="190"/>
      <c r="D69" s="192" t="s">
        <v>1034</v>
      </c>
      <c r="E69" s="140"/>
      <c r="F69" s="144">
        <v>42401</v>
      </c>
      <c r="G69" s="143" t="s">
        <v>1355</v>
      </c>
      <c r="H69" s="142"/>
      <c r="I69" s="190"/>
      <c r="J69" s="140"/>
      <c r="K69" s="144">
        <v>42401</v>
      </c>
      <c r="L69" s="143" t="s">
        <v>1355</v>
      </c>
      <c r="M69" s="142"/>
      <c r="N69" s="190"/>
      <c r="O69" s="140"/>
      <c r="P69" s="144">
        <v>42461</v>
      </c>
      <c r="Q69" s="143" t="s">
        <v>1355</v>
      </c>
      <c r="R69" s="142" t="s">
        <v>1506</v>
      </c>
      <c r="S69" s="132"/>
    </row>
    <row r="70" spans="3:19" s="161" customFormat="1" ht="60">
      <c r="C70" s="190"/>
      <c r="D70" s="192"/>
      <c r="E70" s="140"/>
      <c r="F70" s="139">
        <v>42461</v>
      </c>
      <c r="G70" s="141" t="s">
        <v>1505</v>
      </c>
      <c r="H70" s="137" t="s">
        <v>1504</v>
      </c>
      <c r="I70" s="190"/>
      <c r="J70" s="140"/>
      <c r="K70" s="139">
        <v>42430</v>
      </c>
      <c r="L70" s="141" t="s">
        <v>1503</v>
      </c>
      <c r="M70" s="137" t="s">
        <v>1502</v>
      </c>
      <c r="N70" s="190"/>
      <c r="O70" s="140"/>
      <c r="P70" s="139">
        <v>42461</v>
      </c>
      <c r="Q70" s="141" t="s">
        <v>1501</v>
      </c>
      <c r="R70" s="137" t="s">
        <v>1500</v>
      </c>
      <c r="S70" s="132"/>
    </row>
    <row r="71" spans="3:19" s="161" customFormat="1" ht="18.75">
      <c r="C71" s="190"/>
      <c r="D71" s="192"/>
      <c r="E71" s="140"/>
      <c r="F71" s="139"/>
      <c r="G71" s="138"/>
      <c r="H71" s="137"/>
      <c r="I71" s="190"/>
      <c r="J71" s="140"/>
      <c r="K71" s="158"/>
      <c r="L71" s="138"/>
      <c r="M71" s="137"/>
      <c r="N71" s="190"/>
      <c r="O71" s="140"/>
      <c r="P71" s="158"/>
      <c r="Q71" s="138"/>
      <c r="R71" s="137"/>
      <c r="S71" s="132"/>
    </row>
    <row r="72" spans="3:19" s="161" customFormat="1" ht="75">
      <c r="C72" s="190"/>
      <c r="D72" s="192"/>
      <c r="E72" s="140"/>
      <c r="F72" s="135">
        <v>42522</v>
      </c>
      <c r="G72" s="134" t="s">
        <v>1499</v>
      </c>
      <c r="H72" s="133" t="s">
        <v>1498</v>
      </c>
      <c r="I72" s="190"/>
      <c r="J72" s="140"/>
      <c r="K72" s="135">
        <v>42552</v>
      </c>
      <c r="L72" s="134" t="s">
        <v>1395</v>
      </c>
      <c r="M72" s="133" t="s">
        <v>1497</v>
      </c>
      <c r="N72" s="190"/>
      <c r="O72" s="140"/>
      <c r="P72" s="135">
        <v>42583</v>
      </c>
      <c r="Q72" s="134" t="s">
        <v>1496</v>
      </c>
      <c r="R72" s="133" t="s">
        <v>1495</v>
      </c>
      <c r="S72" s="132"/>
    </row>
    <row r="73" spans="3:19" s="161" customFormat="1" ht="18.75" customHeight="1">
      <c r="C73" s="190"/>
      <c r="D73" s="192" t="s">
        <v>1021</v>
      </c>
      <c r="E73" s="140"/>
      <c r="F73" s="144">
        <v>42705</v>
      </c>
      <c r="G73" s="143" t="s">
        <v>1387</v>
      </c>
      <c r="H73" s="142"/>
      <c r="I73" s="190"/>
      <c r="J73" s="140"/>
      <c r="K73" s="144">
        <v>42705</v>
      </c>
      <c r="L73" s="143" t="s">
        <v>1387</v>
      </c>
      <c r="M73" s="142"/>
      <c r="N73" s="190"/>
      <c r="O73" s="140"/>
      <c r="P73" s="144">
        <v>42705</v>
      </c>
      <c r="Q73" s="143" t="s">
        <v>1387</v>
      </c>
      <c r="R73" s="142"/>
      <c r="S73" s="132"/>
    </row>
    <row r="74" spans="3:19" s="161" customFormat="1" ht="96.75" customHeight="1">
      <c r="C74" s="190"/>
      <c r="D74" s="192"/>
      <c r="E74" s="150">
        <v>8</v>
      </c>
      <c r="F74" s="139">
        <v>42736</v>
      </c>
      <c r="G74" s="141" t="s">
        <v>1467</v>
      </c>
      <c r="H74" s="137" t="s">
        <v>1466</v>
      </c>
      <c r="I74" s="190"/>
      <c r="J74" s="136">
        <v>8</v>
      </c>
      <c r="K74" s="139">
        <v>42795</v>
      </c>
      <c r="L74" s="141" t="s">
        <v>1494</v>
      </c>
      <c r="M74" s="137" t="s">
        <v>1493</v>
      </c>
      <c r="N74" s="190"/>
      <c r="O74" s="136">
        <v>4</v>
      </c>
      <c r="P74" s="139">
        <v>42767</v>
      </c>
      <c r="Q74" s="141" t="s">
        <v>1437</v>
      </c>
      <c r="R74" s="137" t="s">
        <v>1436</v>
      </c>
      <c r="S74" s="132"/>
    </row>
    <row r="75" spans="3:19" s="161" customFormat="1" ht="18.75">
      <c r="C75" s="190"/>
      <c r="D75" s="192"/>
      <c r="E75" s="140"/>
      <c r="F75" s="158"/>
      <c r="G75" s="138"/>
      <c r="H75" s="137"/>
      <c r="I75" s="190"/>
      <c r="J75" s="140"/>
      <c r="K75" s="158"/>
      <c r="L75" s="138"/>
      <c r="M75" s="137">
        <f>16*3.5+15*2.6</f>
        <v>95</v>
      </c>
      <c r="N75" s="190"/>
      <c r="O75" s="140"/>
      <c r="P75" s="158"/>
      <c r="Q75" s="138"/>
      <c r="R75" s="137"/>
      <c r="S75" s="132"/>
    </row>
    <row r="76" spans="3:19" s="161" customFormat="1" ht="118.5" customHeight="1">
      <c r="C76" s="190"/>
      <c r="D76" s="192"/>
      <c r="E76" s="150">
        <v>11</v>
      </c>
      <c r="F76" s="135">
        <v>42917</v>
      </c>
      <c r="G76" s="134" t="s">
        <v>1492</v>
      </c>
      <c r="H76" s="133" t="s">
        <v>1491</v>
      </c>
      <c r="I76" s="190"/>
      <c r="J76" s="136">
        <v>5</v>
      </c>
      <c r="K76" s="135">
        <v>42917</v>
      </c>
      <c r="L76" s="134" t="s">
        <v>1490</v>
      </c>
      <c r="M76" s="133" t="s">
        <v>1489</v>
      </c>
      <c r="N76" s="190"/>
      <c r="O76" s="136">
        <v>12</v>
      </c>
      <c r="P76" s="135">
        <v>42948</v>
      </c>
      <c r="Q76" s="134" t="s">
        <v>1488</v>
      </c>
      <c r="R76" s="133" t="s">
        <v>1487</v>
      </c>
      <c r="S76" s="132"/>
    </row>
    <row r="77" spans="3:19" s="161" customFormat="1" ht="18.75">
      <c r="C77" s="132"/>
      <c r="D77" s="132"/>
      <c r="E77" s="140"/>
      <c r="F77" s="132"/>
      <c r="G77" s="132"/>
      <c r="H77" s="132"/>
      <c r="I77" s="132"/>
      <c r="J77" s="140"/>
      <c r="K77" s="132"/>
      <c r="L77" s="132"/>
      <c r="M77" s="132"/>
      <c r="N77" s="132"/>
      <c r="O77" s="140"/>
      <c r="P77" s="132"/>
      <c r="Q77" s="132"/>
      <c r="R77" s="132"/>
      <c r="S77" s="132"/>
    </row>
    <row r="78" spans="3:19" s="161" customFormat="1" ht="18.75">
      <c r="C78" s="190">
        <v>5</v>
      </c>
      <c r="D78" s="148"/>
      <c r="E78" s="140"/>
      <c r="F78" s="147">
        <v>41883</v>
      </c>
      <c r="G78" s="138" t="s">
        <v>1046</v>
      </c>
      <c r="H78" s="138" t="s">
        <v>1045</v>
      </c>
      <c r="I78" s="190">
        <v>5</v>
      </c>
      <c r="J78" s="140"/>
      <c r="K78" s="147">
        <v>41883</v>
      </c>
      <c r="L78" s="138" t="s">
        <v>1046</v>
      </c>
      <c r="M78" s="138" t="s">
        <v>1045</v>
      </c>
      <c r="N78" s="190">
        <v>5</v>
      </c>
      <c r="O78" s="140"/>
      <c r="P78" s="147">
        <v>41883</v>
      </c>
      <c r="Q78" s="138" t="s">
        <v>1046</v>
      </c>
      <c r="R78" s="138" t="s">
        <v>1045</v>
      </c>
      <c r="S78" s="132"/>
    </row>
    <row r="79" spans="3:19" s="161" customFormat="1" ht="30" customHeight="1">
      <c r="C79" s="190"/>
      <c r="D79" s="192" t="s">
        <v>1044</v>
      </c>
      <c r="E79" s="140"/>
      <c r="F79" s="144">
        <v>41944</v>
      </c>
      <c r="G79" s="143" t="s">
        <v>1459</v>
      </c>
      <c r="H79" s="142"/>
      <c r="I79" s="190"/>
      <c r="J79" s="140"/>
      <c r="K79" s="144">
        <v>41944</v>
      </c>
      <c r="L79" s="143" t="s">
        <v>1413</v>
      </c>
      <c r="M79" s="142"/>
      <c r="N79" s="190"/>
      <c r="O79" s="140"/>
      <c r="P79" s="144">
        <v>41944</v>
      </c>
      <c r="Q79" s="143" t="s">
        <v>1413</v>
      </c>
      <c r="R79" s="142"/>
      <c r="S79" s="132"/>
    </row>
    <row r="80" spans="3:19" s="161" customFormat="1" ht="75">
      <c r="C80" s="190"/>
      <c r="D80" s="192"/>
      <c r="E80" s="140"/>
      <c r="F80" s="139">
        <v>42036</v>
      </c>
      <c r="G80" s="141" t="s">
        <v>1486</v>
      </c>
      <c r="H80" s="137" t="s">
        <v>1485</v>
      </c>
      <c r="I80" s="190"/>
      <c r="J80" s="140"/>
      <c r="K80" s="139">
        <v>42064</v>
      </c>
      <c r="L80" s="141" t="s">
        <v>1456</v>
      </c>
      <c r="M80" s="137" t="s">
        <v>1455</v>
      </c>
      <c r="N80" s="190"/>
      <c r="O80" s="140"/>
      <c r="P80" s="139"/>
      <c r="Q80" s="141" t="s">
        <v>1484</v>
      </c>
      <c r="R80" s="137"/>
      <c r="S80" s="132"/>
    </row>
    <row r="81" spans="3:19" s="161" customFormat="1" ht="15" customHeight="1">
      <c r="C81" s="190"/>
      <c r="D81" s="192"/>
      <c r="E81" s="140"/>
      <c r="F81" s="139"/>
      <c r="G81" s="138"/>
      <c r="H81" s="137"/>
      <c r="I81" s="190"/>
      <c r="J81" s="140"/>
      <c r="K81" s="139"/>
      <c r="L81" s="138"/>
      <c r="M81" s="137"/>
      <c r="N81" s="190"/>
      <c r="O81" s="140"/>
      <c r="P81" s="139"/>
      <c r="Q81" s="138"/>
      <c r="R81" s="137"/>
      <c r="S81" s="132"/>
    </row>
    <row r="82" spans="3:19" s="161" customFormat="1" ht="75">
      <c r="C82" s="190"/>
      <c r="D82" s="192"/>
      <c r="E82" s="140"/>
      <c r="F82" s="135">
        <v>42217</v>
      </c>
      <c r="G82" s="134" t="s">
        <v>1483</v>
      </c>
      <c r="H82" s="133" t="s">
        <v>1482</v>
      </c>
      <c r="I82" s="190"/>
      <c r="J82" s="140"/>
      <c r="K82" s="135">
        <v>42186</v>
      </c>
      <c r="L82" s="134" t="s">
        <v>1409</v>
      </c>
      <c r="M82" s="133" t="s">
        <v>1481</v>
      </c>
      <c r="N82" s="190"/>
      <c r="O82" s="140"/>
      <c r="P82" s="135">
        <v>42186</v>
      </c>
      <c r="Q82" s="134" t="s">
        <v>1480</v>
      </c>
      <c r="R82" s="133" t="s">
        <v>1479</v>
      </c>
      <c r="S82" s="132"/>
    </row>
    <row r="83" spans="3:19" s="161" customFormat="1" ht="18.75">
      <c r="C83" s="190"/>
      <c r="D83" s="192" t="s">
        <v>1034</v>
      </c>
      <c r="E83" s="140"/>
      <c r="F83" s="144">
        <v>42309</v>
      </c>
      <c r="G83" s="143" t="s">
        <v>1183</v>
      </c>
      <c r="H83" s="142"/>
      <c r="I83" s="190"/>
      <c r="J83" s="140"/>
      <c r="K83" s="144">
        <v>42339</v>
      </c>
      <c r="L83" s="143" t="s">
        <v>1355</v>
      </c>
      <c r="M83" s="142"/>
      <c r="N83" s="190"/>
      <c r="O83" s="140"/>
      <c r="P83" s="144">
        <v>42309</v>
      </c>
      <c r="Q83" s="143" t="s">
        <v>1183</v>
      </c>
      <c r="R83" s="142"/>
      <c r="S83" s="132"/>
    </row>
    <row r="84" spans="3:19" s="161" customFormat="1" ht="75">
      <c r="C84" s="190"/>
      <c r="D84" s="192"/>
      <c r="E84" s="140"/>
      <c r="F84" s="139">
        <v>42401</v>
      </c>
      <c r="G84" s="141" t="s">
        <v>1478</v>
      </c>
      <c r="H84" s="137" t="s">
        <v>1477</v>
      </c>
      <c r="I84" s="190"/>
      <c r="J84" s="140"/>
      <c r="K84" s="139">
        <v>42430</v>
      </c>
      <c r="L84" s="141" t="s">
        <v>1476</v>
      </c>
      <c r="M84" s="137" t="s">
        <v>1475</v>
      </c>
      <c r="N84" s="190"/>
      <c r="O84" s="140"/>
      <c r="P84" s="139">
        <v>42430</v>
      </c>
      <c r="Q84" s="141" t="s">
        <v>1448</v>
      </c>
      <c r="R84" s="137" t="s">
        <v>1474</v>
      </c>
      <c r="S84" s="132"/>
    </row>
    <row r="85" spans="3:19" s="161" customFormat="1" ht="18.75" customHeight="1">
      <c r="C85" s="190"/>
      <c r="D85" s="192"/>
      <c r="E85" s="140"/>
      <c r="F85" s="158"/>
      <c r="G85" s="138"/>
      <c r="H85" s="137"/>
      <c r="I85" s="190"/>
      <c r="J85" s="140"/>
      <c r="K85" s="158"/>
      <c r="L85" s="138"/>
      <c r="M85" s="137"/>
      <c r="N85" s="190"/>
      <c r="O85" s="140"/>
      <c r="P85" s="158"/>
      <c r="Q85" s="138"/>
      <c r="R85" s="137"/>
      <c r="S85" s="132"/>
    </row>
    <row r="86" spans="3:19" s="161" customFormat="1" ht="45">
      <c r="C86" s="190"/>
      <c r="D86" s="192"/>
      <c r="E86" s="140"/>
      <c r="F86" s="135">
        <v>42491</v>
      </c>
      <c r="G86" s="134" t="s">
        <v>1473</v>
      </c>
      <c r="H86" s="133" t="s">
        <v>1472</v>
      </c>
      <c r="I86" s="190"/>
      <c r="J86" s="140"/>
      <c r="K86" s="135">
        <v>42552</v>
      </c>
      <c r="L86" s="134" t="s">
        <v>1471</v>
      </c>
      <c r="M86" s="133" t="s">
        <v>1470</v>
      </c>
      <c r="N86" s="190"/>
      <c r="O86" s="140"/>
      <c r="P86" s="135">
        <v>42583</v>
      </c>
      <c r="Q86" s="134" t="s">
        <v>1469</v>
      </c>
      <c r="R86" s="133" t="s">
        <v>1468</v>
      </c>
      <c r="S86" s="132"/>
    </row>
    <row r="87" spans="3:19" s="161" customFormat="1" ht="15" customHeight="1">
      <c r="C87" s="190"/>
      <c r="D87" s="192" t="s">
        <v>1021</v>
      </c>
      <c r="E87" s="132"/>
      <c r="F87" s="144">
        <v>42705</v>
      </c>
      <c r="G87" s="143" t="s">
        <v>1387</v>
      </c>
      <c r="H87" s="142"/>
      <c r="I87" s="190"/>
      <c r="J87" s="132"/>
      <c r="K87" s="144">
        <v>42705</v>
      </c>
      <c r="L87" s="143" t="s">
        <v>1387</v>
      </c>
      <c r="M87" s="142"/>
      <c r="N87" s="190"/>
      <c r="O87" s="132"/>
      <c r="P87" s="144">
        <v>42705</v>
      </c>
      <c r="Q87" s="143" t="s">
        <v>1387</v>
      </c>
      <c r="R87" s="142"/>
      <c r="S87" s="132"/>
    </row>
    <row r="88" spans="3:19" s="161" customFormat="1" ht="96.75" customHeight="1">
      <c r="C88" s="190"/>
      <c r="D88" s="192"/>
      <c r="E88" s="136">
        <v>8</v>
      </c>
      <c r="F88" s="139">
        <v>42736</v>
      </c>
      <c r="G88" s="141" t="s">
        <v>1467</v>
      </c>
      <c r="H88" s="137" t="s">
        <v>1466</v>
      </c>
      <c r="I88" s="190"/>
      <c r="J88" s="136">
        <v>6</v>
      </c>
      <c r="K88" s="139">
        <v>42767</v>
      </c>
      <c r="L88" s="141" t="s">
        <v>1439</v>
      </c>
      <c r="M88" s="137" t="s">
        <v>1438</v>
      </c>
      <c r="N88" s="190"/>
      <c r="O88" s="136">
        <v>10</v>
      </c>
      <c r="P88" s="139">
        <v>42767</v>
      </c>
      <c r="Q88" s="141" t="s">
        <v>1465</v>
      </c>
      <c r="R88" s="137" t="s">
        <v>1464</v>
      </c>
      <c r="S88" s="132"/>
    </row>
    <row r="89" spans="3:19" s="161" customFormat="1" ht="18.75">
      <c r="C89" s="190"/>
      <c r="D89" s="192"/>
      <c r="E89" s="140"/>
      <c r="F89" s="158"/>
      <c r="G89" s="138"/>
      <c r="H89" s="137"/>
      <c r="I89" s="190"/>
      <c r="J89" s="140"/>
      <c r="K89" s="158"/>
      <c r="L89" s="138"/>
      <c r="M89" s="137"/>
      <c r="N89" s="190"/>
      <c r="O89" s="140"/>
      <c r="P89" s="158"/>
      <c r="Q89" s="138"/>
      <c r="R89" s="137"/>
      <c r="S89" s="132"/>
    </row>
    <row r="90" spans="3:19" s="161" customFormat="1" ht="75" customHeight="1">
      <c r="C90" s="190"/>
      <c r="D90" s="192"/>
      <c r="E90" s="136">
        <v>9</v>
      </c>
      <c r="F90" s="135">
        <v>42917</v>
      </c>
      <c r="G90" s="134" t="s">
        <v>1463</v>
      </c>
      <c r="H90" s="133" t="s">
        <v>1462</v>
      </c>
      <c r="I90" s="190"/>
      <c r="J90" s="136">
        <v>11</v>
      </c>
      <c r="K90" s="135">
        <v>42917</v>
      </c>
      <c r="L90" s="134" t="s">
        <v>1434</v>
      </c>
      <c r="M90" s="133" t="s">
        <v>1433</v>
      </c>
      <c r="N90" s="190"/>
      <c r="O90" s="136">
        <v>12</v>
      </c>
      <c r="P90" s="135">
        <v>42948</v>
      </c>
      <c r="Q90" s="134" t="s">
        <v>1461</v>
      </c>
      <c r="R90" s="133" t="s">
        <v>1460</v>
      </c>
      <c r="S90" s="132"/>
    </row>
    <row r="91" spans="3:19" s="161" customFormat="1" ht="18.75">
      <c r="C91" s="132"/>
      <c r="D91" s="132"/>
      <c r="E91" s="140"/>
      <c r="F91" s="132"/>
      <c r="G91" s="132"/>
      <c r="H91" s="132"/>
      <c r="I91" s="132"/>
      <c r="J91" s="140"/>
      <c r="K91" s="132"/>
      <c r="L91" s="132"/>
      <c r="M91" s="132"/>
      <c r="N91" s="132"/>
      <c r="O91" s="140"/>
      <c r="P91" s="132"/>
      <c r="Q91" s="132"/>
      <c r="R91" s="132"/>
      <c r="S91" s="132"/>
    </row>
    <row r="92" spans="3:19" s="161" customFormat="1" ht="18.75">
      <c r="C92" s="190">
        <v>6</v>
      </c>
      <c r="D92" s="148"/>
      <c r="E92" s="140"/>
      <c r="F92" s="147">
        <v>41883</v>
      </c>
      <c r="G92" s="138" t="s">
        <v>1046</v>
      </c>
      <c r="H92" s="138" t="s">
        <v>1045</v>
      </c>
      <c r="I92" s="190">
        <v>6</v>
      </c>
      <c r="J92" s="140"/>
      <c r="K92" s="147">
        <v>41883</v>
      </c>
      <c r="L92" s="138" t="s">
        <v>1046</v>
      </c>
      <c r="M92" s="138" t="s">
        <v>1045</v>
      </c>
      <c r="N92" s="190">
        <v>6</v>
      </c>
      <c r="O92" s="140"/>
      <c r="P92" s="147">
        <v>41883</v>
      </c>
      <c r="Q92" s="138" t="s">
        <v>1046</v>
      </c>
      <c r="R92" s="138" t="s">
        <v>1045</v>
      </c>
      <c r="S92" s="132"/>
    </row>
    <row r="93" spans="3:19" s="161" customFormat="1" ht="30">
      <c r="C93" s="190"/>
      <c r="D93" s="192" t="s">
        <v>1044</v>
      </c>
      <c r="E93" s="140"/>
      <c r="F93" s="144">
        <v>41944</v>
      </c>
      <c r="G93" s="143" t="s">
        <v>1459</v>
      </c>
      <c r="H93" s="142"/>
      <c r="I93" s="190"/>
      <c r="J93" s="140"/>
      <c r="K93" s="144">
        <v>41944</v>
      </c>
      <c r="L93" s="143" t="s">
        <v>1413</v>
      </c>
      <c r="M93" s="142"/>
      <c r="N93" s="190"/>
      <c r="O93" s="140"/>
      <c r="P93" s="144">
        <v>41944</v>
      </c>
      <c r="Q93" s="143" t="s">
        <v>1412</v>
      </c>
      <c r="R93" s="142"/>
      <c r="S93" s="132"/>
    </row>
    <row r="94" spans="3:19" s="161" customFormat="1" ht="75">
      <c r="C94" s="190"/>
      <c r="D94" s="192"/>
      <c r="E94" s="140"/>
      <c r="F94" s="139">
        <v>42036</v>
      </c>
      <c r="G94" s="141" t="s">
        <v>1458</v>
      </c>
      <c r="H94" s="159" t="s">
        <v>1457</v>
      </c>
      <c r="I94" s="190"/>
      <c r="J94" s="140"/>
      <c r="K94" s="139">
        <v>42064</v>
      </c>
      <c r="L94" s="141" t="s">
        <v>1456</v>
      </c>
      <c r="M94" s="137" t="s">
        <v>1455</v>
      </c>
      <c r="N94" s="190"/>
      <c r="O94" s="140"/>
      <c r="P94" s="139">
        <v>42064</v>
      </c>
      <c r="Q94" s="141" t="s">
        <v>1454</v>
      </c>
      <c r="R94" s="137" t="s">
        <v>1453</v>
      </c>
      <c r="S94" s="132"/>
    </row>
    <row r="95" spans="3:19" s="161" customFormat="1" ht="15" customHeight="1">
      <c r="C95" s="190"/>
      <c r="D95" s="192"/>
      <c r="E95" s="140"/>
      <c r="F95" s="139"/>
      <c r="G95" s="138"/>
      <c r="H95" s="137"/>
      <c r="I95" s="190"/>
      <c r="J95" s="140"/>
      <c r="K95" s="139"/>
      <c r="L95" s="138"/>
      <c r="M95" s="137"/>
      <c r="N95" s="190"/>
      <c r="O95" s="140"/>
      <c r="P95" s="139"/>
      <c r="Q95" s="138"/>
      <c r="R95" s="137"/>
      <c r="S95" s="132"/>
    </row>
    <row r="96" spans="3:19" s="161" customFormat="1" ht="60">
      <c r="C96" s="190"/>
      <c r="D96" s="192"/>
      <c r="E96" s="140"/>
      <c r="F96" s="135">
        <v>42278</v>
      </c>
      <c r="G96" s="134" t="s">
        <v>1193</v>
      </c>
      <c r="H96" s="133" t="s">
        <v>1430</v>
      </c>
      <c r="I96" s="190"/>
      <c r="J96" s="140"/>
      <c r="K96" s="135">
        <v>42186</v>
      </c>
      <c r="L96" s="134" t="s">
        <v>1429</v>
      </c>
      <c r="M96" s="133" t="s">
        <v>1428</v>
      </c>
      <c r="N96" s="190"/>
      <c r="O96" s="140"/>
      <c r="P96" s="135">
        <v>42186</v>
      </c>
      <c r="Q96" s="134" t="s">
        <v>1452</v>
      </c>
      <c r="R96" s="133" t="s">
        <v>1451</v>
      </c>
      <c r="S96" s="132"/>
    </row>
    <row r="97" spans="3:19" s="161" customFormat="1" ht="18.75">
      <c r="C97" s="190"/>
      <c r="D97" s="192" t="s">
        <v>1034</v>
      </c>
      <c r="E97" s="140"/>
      <c r="F97" s="144">
        <v>42339</v>
      </c>
      <c r="G97" s="143" t="s">
        <v>1355</v>
      </c>
      <c r="H97" s="142"/>
      <c r="I97" s="190"/>
      <c r="J97" s="140"/>
      <c r="K97" s="144">
        <v>42339</v>
      </c>
      <c r="L97" s="143" t="s">
        <v>1355</v>
      </c>
      <c r="M97" s="142"/>
      <c r="N97" s="190"/>
      <c r="O97" s="140"/>
      <c r="P97" s="144">
        <v>42309</v>
      </c>
      <c r="Q97" s="143" t="s">
        <v>1183</v>
      </c>
      <c r="R97" s="142"/>
      <c r="S97" s="132"/>
    </row>
    <row r="98" spans="3:19" s="161" customFormat="1" ht="75">
      <c r="C98" s="190"/>
      <c r="D98" s="192"/>
      <c r="E98" s="140"/>
      <c r="F98" s="139">
        <v>42401</v>
      </c>
      <c r="G98" s="141" t="s">
        <v>1401</v>
      </c>
      <c r="H98" s="137" t="s">
        <v>1400</v>
      </c>
      <c r="I98" s="190"/>
      <c r="J98" s="140"/>
      <c r="K98" s="139">
        <v>42430</v>
      </c>
      <c r="L98" s="141" t="s">
        <v>1450</v>
      </c>
      <c r="M98" s="137" t="s">
        <v>1449</v>
      </c>
      <c r="N98" s="190"/>
      <c r="O98" s="140"/>
      <c r="P98" s="139">
        <v>42430</v>
      </c>
      <c r="Q98" s="141" t="s">
        <v>1448</v>
      </c>
      <c r="R98" s="137" t="s">
        <v>1447</v>
      </c>
      <c r="S98" s="132"/>
    </row>
    <row r="99" spans="3:19" s="161" customFormat="1" ht="18.75">
      <c r="C99" s="190"/>
      <c r="D99" s="192"/>
      <c r="E99" s="140"/>
      <c r="F99" s="158"/>
      <c r="G99" s="138"/>
      <c r="H99" s="137"/>
      <c r="I99" s="190"/>
      <c r="J99" s="140"/>
      <c r="K99" s="158"/>
      <c r="L99" s="138"/>
      <c r="M99" s="137"/>
      <c r="N99" s="190"/>
      <c r="O99" s="140"/>
      <c r="P99" s="158"/>
      <c r="Q99" s="138"/>
      <c r="R99" s="137"/>
      <c r="S99" s="132"/>
    </row>
    <row r="100" spans="3:19" s="161" customFormat="1" ht="90">
      <c r="C100" s="190"/>
      <c r="D100" s="192"/>
      <c r="E100" s="140"/>
      <c r="F100" s="135">
        <v>42522</v>
      </c>
      <c r="G100" s="134" t="s">
        <v>1446</v>
      </c>
      <c r="H100" s="133" t="s">
        <v>1445</v>
      </c>
      <c r="I100" s="190"/>
      <c r="J100" s="140"/>
      <c r="K100" s="135">
        <v>42552</v>
      </c>
      <c r="L100" s="134" t="s">
        <v>1395</v>
      </c>
      <c r="M100" s="133" t="s">
        <v>1444</v>
      </c>
      <c r="N100" s="190"/>
      <c r="O100" s="140"/>
      <c r="P100" s="135">
        <v>42583</v>
      </c>
      <c r="Q100" s="134" t="s">
        <v>1443</v>
      </c>
      <c r="R100" s="133" t="s">
        <v>1442</v>
      </c>
      <c r="S100" s="132"/>
    </row>
    <row r="101" spans="3:19" s="161" customFormat="1" ht="18.75">
      <c r="C101" s="190"/>
      <c r="D101" s="192" t="s">
        <v>1021</v>
      </c>
      <c r="E101" s="140"/>
      <c r="F101" s="144">
        <v>42705</v>
      </c>
      <c r="G101" s="143" t="s">
        <v>1387</v>
      </c>
      <c r="H101" s="142"/>
      <c r="I101" s="190"/>
      <c r="J101" s="140"/>
      <c r="K101" s="144">
        <v>42705</v>
      </c>
      <c r="L101" s="143" t="s">
        <v>1387</v>
      </c>
      <c r="M101" s="142">
        <f>28*1.9+7*2.8+15*2.6</f>
        <v>111.8</v>
      </c>
      <c r="N101" s="190"/>
      <c r="O101" s="140"/>
      <c r="P101" s="144">
        <v>42705</v>
      </c>
      <c r="Q101" s="143" t="s">
        <v>1387</v>
      </c>
      <c r="R101" s="142"/>
      <c r="S101" s="132"/>
    </row>
    <row r="102" spans="3:19" s="161" customFormat="1" ht="69.75" customHeight="1">
      <c r="C102" s="190"/>
      <c r="D102" s="192"/>
      <c r="E102" s="136">
        <v>16</v>
      </c>
      <c r="F102" s="139">
        <v>42795</v>
      </c>
      <c r="G102" s="141" t="s">
        <v>1441</v>
      </c>
      <c r="H102" s="137" t="s">
        <v>1440</v>
      </c>
      <c r="I102" s="190"/>
      <c r="J102" s="136">
        <v>6</v>
      </c>
      <c r="K102" s="139">
        <v>42767</v>
      </c>
      <c r="L102" s="141" t="s">
        <v>1439</v>
      </c>
      <c r="M102" s="137" t="s">
        <v>1438</v>
      </c>
      <c r="N102" s="190"/>
      <c r="O102" s="136">
        <v>4</v>
      </c>
      <c r="P102" s="139">
        <v>42767</v>
      </c>
      <c r="Q102" s="141" t="s">
        <v>1437</v>
      </c>
      <c r="R102" s="137" t="s">
        <v>1436</v>
      </c>
      <c r="S102" s="132"/>
    </row>
    <row r="103" spans="3:19" s="161" customFormat="1" ht="18.75">
      <c r="C103" s="190"/>
      <c r="D103" s="192"/>
      <c r="E103" s="140"/>
      <c r="F103" s="158"/>
      <c r="G103" s="138"/>
      <c r="H103" s="137"/>
      <c r="I103" s="190"/>
      <c r="J103" s="140"/>
      <c r="K103" s="158"/>
      <c r="L103" s="138"/>
      <c r="M103" s="137"/>
      <c r="N103" s="190"/>
      <c r="O103" s="140"/>
      <c r="P103" s="158"/>
      <c r="Q103" s="138"/>
      <c r="R103" s="137"/>
      <c r="S103" s="132"/>
    </row>
    <row r="104" spans="3:19" s="161" customFormat="1" ht="57" customHeight="1">
      <c r="C104" s="190"/>
      <c r="D104" s="192"/>
      <c r="E104" s="136">
        <v>2</v>
      </c>
      <c r="F104" s="135">
        <v>42917</v>
      </c>
      <c r="G104" s="134" t="s">
        <v>176</v>
      </c>
      <c r="H104" s="133" t="s">
        <v>1435</v>
      </c>
      <c r="I104" s="190"/>
      <c r="J104" s="136">
        <v>11</v>
      </c>
      <c r="K104" s="135">
        <v>42917</v>
      </c>
      <c r="L104" s="134" t="s">
        <v>1434</v>
      </c>
      <c r="M104" s="133" t="s">
        <v>1433</v>
      </c>
      <c r="N104" s="190"/>
      <c r="O104" s="136">
        <v>13</v>
      </c>
      <c r="P104" s="135">
        <v>42948</v>
      </c>
      <c r="Q104" s="134" t="s">
        <v>951</v>
      </c>
      <c r="R104" s="133" t="s">
        <v>1432</v>
      </c>
      <c r="S104" s="132"/>
    </row>
    <row r="105" spans="3:19" s="161" customFormat="1" ht="18.75">
      <c r="C105" s="132"/>
      <c r="D105" s="132"/>
      <c r="E105" s="140"/>
      <c r="F105" s="132"/>
      <c r="G105" s="132"/>
      <c r="H105" s="132"/>
      <c r="I105" s="132"/>
      <c r="J105" s="140"/>
      <c r="K105" s="132"/>
      <c r="L105" s="132"/>
      <c r="M105" s="132"/>
      <c r="N105" s="132"/>
      <c r="O105" s="140"/>
      <c r="P105" s="132"/>
      <c r="Q105" s="132"/>
      <c r="R105" s="132"/>
      <c r="S105" s="132"/>
    </row>
    <row r="106" spans="3:19" s="161" customFormat="1" ht="18.75">
      <c r="C106" s="190">
        <v>7</v>
      </c>
      <c r="D106" s="148"/>
      <c r="E106" s="140"/>
      <c r="F106" s="147">
        <v>41883</v>
      </c>
      <c r="G106" s="138" t="s">
        <v>1046</v>
      </c>
      <c r="H106" s="138" t="s">
        <v>1045</v>
      </c>
      <c r="I106" s="190">
        <v>7</v>
      </c>
      <c r="J106" s="140"/>
      <c r="K106" s="147">
        <v>41883</v>
      </c>
      <c r="L106" s="138" t="s">
        <v>1046</v>
      </c>
      <c r="M106" s="138" t="s">
        <v>1045</v>
      </c>
      <c r="N106" s="190">
        <v>7</v>
      </c>
      <c r="O106" s="140"/>
      <c r="P106" s="147">
        <v>41883</v>
      </c>
      <c r="Q106" s="138" t="s">
        <v>1046</v>
      </c>
      <c r="R106" s="138" t="s">
        <v>1045</v>
      </c>
      <c r="S106" s="132"/>
    </row>
    <row r="107" spans="3:19" s="161" customFormat="1" ht="30">
      <c r="C107" s="190"/>
      <c r="D107" s="192" t="s">
        <v>1044</v>
      </c>
      <c r="E107" s="140"/>
      <c r="F107" s="144">
        <v>41944</v>
      </c>
      <c r="G107" s="143" t="s">
        <v>1413</v>
      </c>
      <c r="H107" s="142"/>
      <c r="I107" s="190"/>
      <c r="J107" s="140"/>
      <c r="K107" s="144">
        <v>41944</v>
      </c>
      <c r="L107" s="143" t="s">
        <v>1413</v>
      </c>
      <c r="M107" s="142"/>
      <c r="N107" s="190"/>
      <c r="O107" s="140"/>
      <c r="P107" s="144">
        <v>41944</v>
      </c>
      <c r="Q107" s="143" t="s">
        <v>1412</v>
      </c>
      <c r="R107" s="142"/>
      <c r="S107" s="132"/>
    </row>
    <row r="108" spans="3:19" s="161" customFormat="1" ht="90">
      <c r="C108" s="190"/>
      <c r="D108" s="192"/>
      <c r="E108" s="140"/>
      <c r="F108" s="139">
        <v>42036</v>
      </c>
      <c r="G108" s="141" t="s">
        <v>1411</v>
      </c>
      <c r="H108" s="137" t="s">
        <v>1410</v>
      </c>
      <c r="I108" s="190"/>
      <c r="J108" s="140"/>
      <c r="K108" s="139">
        <v>42064</v>
      </c>
      <c r="L108" s="141" t="s">
        <v>1409</v>
      </c>
      <c r="M108" s="137" t="s">
        <v>1408</v>
      </c>
      <c r="N108" s="190"/>
      <c r="O108" s="140"/>
      <c r="P108" s="139">
        <v>42064</v>
      </c>
      <c r="Q108" s="141" t="s">
        <v>1407</v>
      </c>
      <c r="R108" s="137" t="s">
        <v>1431</v>
      </c>
      <c r="S108" s="132"/>
    </row>
    <row r="109" spans="3:19" s="161" customFormat="1" ht="15" customHeight="1">
      <c r="C109" s="190"/>
      <c r="D109" s="192"/>
      <c r="E109" s="140"/>
      <c r="F109" s="139"/>
      <c r="G109" s="138"/>
      <c r="H109" s="137"/>
      <c r="I109" s="190"/>
      <c r="J109" s="140"/>
      <c r="K109" s="139"/>
      <c r="L109" s="138"/>
      <c r="M109" s="137"/>
      <c r="N109" s="190"/>
      <c r="O109" s="140"/>
      <c r="P109" s="139"/>
      <c r="Q109" s="138"/>
      <c r="R109" s="137"/>
      <c r="S109" s="132"/>
    </row>
    <row r="110" spans="3:19" s="161" customFormat="1" ht="60">
      <c r="C110" s="190"/>
      <c r="D110" s="192"/>
      <c r="E110" s="140"/>
      <c r="F110" s="135">
        <v>42278</v>
      </c>
      <c r="G110" s="134" t="s">
        <v>1193</v>
      </c>
      <c r="H110" s="133" t="s">
        <v>1430</v>
      </c>
      <c r="I110" s="190"/>
      <c r="J110" s="140"/>
      <c r="K110" s="135">
        <v>42186</v>
      </c>
      <c r="L110" s="134" t="s">
        <v>1429</v>
      </c>
      <c r="M110" s="133" t="s">
        <v>1428</v>
      </c>
      <c r="N110" s="190"/>
      <c r="O110" s="140"/>
      <c r="P110" s="135">
        <v>42186</v>
      </c>
      <c r="Q110" s="134" t="s">
        <v>1427</v>
      </c>
      <c r="R110" s="133" t="s">
        <v>1426</v>
      </c>
      <c r="S110" s="132"/>
    </row>
    <row r="111" spans="3:19" s="161" customFormat="1" ht="18.75">
      <c r="C111" s="190"/>
      <c r="D111" s="192" t="s">
        <v>1034</v>
      </c>
      <c r="E111" s="140"/>
      <c r="F111" s="144">
        <v>42370</v>
      </c>
      <c r="G111" s="143" t="s">
        <v>1355</v>
      </c>
      <c r="H111" s="142"/>
      <c r="I111" s="190"/>
      <c r="J111" s="140"/>
      <c r="K111" s="144">
        <v>42339</v>
      </c>
      <c r="L111" s="143" t="s">
        <v>1355</v>
      </c>
      <c r="M111" s="142"/>
      <c r="N111" s="190"/>
      <c r="O111" s="140"/>
      <c r="P111" s="144">
        <v>42309</v>
      </c>
      <c r="Q111" s="143" t="s">
        <v>1183</v>
      </c>
      <c r="R111" s="142"/>
      <c r="S111" s="132"/>
    </row>
    <row r="112" spans="3:19" s="161" customFormat="1" ht="75">
      <c r="C112" s="190"/>
      <c r="D112" s="192"/>
      <c r="E112" s="140"/>
      <c r="F112" s="139">
        <v>42401</v>
      </c>
      <c r="G112" s="141" t="s">
        <v>1401</v>
      </c>
      <c r="H112" s="137" t="s">
        <v>1400</v>
      </c>
      <c r="I112" s="190"/>
      <c r="J112" s="140"/>
      <c r="K112" s="139">
        <v>42430</v>
      </c>
      <c r="L112" s="141" t="s">
        <v>1399</v>
      </c>
      <c r="M112" s="137" t="s">
        <v>1398</v>
      </c>
      <c r="N112" s="190"/>
      <c r="O112" s="140"/>
      <c r="P112" s="139">
        <v>42430</v>
      </c>
      <c r="Q112" s="141" t="s">
        <v>1082</v>
      </c>
      <c r="R112" s="137" t="s">
        <v>1425</v>
      </c>
      <c r="S112" s="132"/>
    </row>
    <row r="113" spans="3:19" s="161" customFormat="1" ht="18.75">
      <c r="C113" s="190"/>
      <c r="D113" s="192"/>
      <c r="E113" s="140"/>
      <c r="F113" s="158"/>
      <c r="G113" s="138"/>
      <c r="H113" s="137"/>
      <c r="I113" s="190"/>
      <c r="J113" s="140"/>
      <c r="K113" s="158"/>
      <c r="L113" s="138"/>
      <c r="M113" s="137"/>
      <c r="N113" s="190"/>
      <c r="O113" s="140"/>
      <c r="P113" s="158"/>
      <c r="Q113" s="138"/>
      <c r="R113" s="137"/>
      <c r="S113" s="132"/>
    </row>
    <row r="114" spans="3:19" s="161" customFormat="1" ht="90">
      <c r="C114" s="190"/>
      <c r="D114" s="192"/>
      <c r="E114" s="140"/>
      <c r="F114" s="135">
        <v>42552</v>
      </c>
      <c r="G114" s="134" t="s">
        <v>1395</v>
      </c>
      <c r="H114" s="133" t="s">
        <v>1394</v>
      </c>
      <c r="I114" s="190"/>
      <c r="J114" s="140"/>
      <c r="K114" s="135">
        <v>42522</v>
      </c>
      <c r="L114" s="134" t="s">
        <v>1424</v>
      </c>
      <c r="M114" s="133" t="s">
        <v>1423</v>
      </c>
      <c r="N114" s="190"/>
      <c r="O114" s="140"/>
      <c r="P114" s="135">
        <v>42552</v>
      </c>
      <c r="Q114" s="134" t="s">
        <v>1422</v>
      </c>
      <c r="R114" s="133" t="s">
        <v>1421</v>
      </c>
      <c r="S114" s="132"/>
    </row>
    <row r="115" spans="3:19" s="161" customFormat="1" ht="18.75">
      <c r="C115" s="190"/>
      <c r="D115" s="192" t="s">
        <v>1021</v>
      </c>
      <c r="E115" s="140"/>
      <c r="F115" s="144">
        <v>42705</v>
      </c>
      <c r="G115" s="143" t="s">
        <v>1387</v>
      </c>
      <c r="H115" s="142"/>
      <c r="I115" s="190"/>
      <c r="J115" s="140"/>
      <c r="K115" s="144">
        <v>42705</v>
      </c>
      <c r="L115" s="143" t="s">
        <v>1387</v>
      </c>
      <c r="M115" s="142"/>
      <c r="N115" s="190"/>
      <c r="O115" s="140"/>
      <c r="P115" s="144">
        <v>42705</v>
      </c>
      <c r="Q115" s="143" t="s">
        <v>1387</v>
      </c>
      <c r="R115" s="142"/>
      <c r="S115" s="132"/>
    </row>
    <row r="116" spans="3:19" s="161" customFormat="1" ht="58.5" customHeight="1">
      <c r="C116" s="190"/>
      <c r="D116" s="192"/>
      <c r="E116" s="136">
        <v>16</v>
      </c>
      <c r="F116" s="139">
        <v>42795</v>
      </c>
      <c r="G116" s="141" t="s">
        <v>1420</v>
      </c>
      <c r="H116" s="137" t="s">
        <v>1419</v>
      </c>
      <c r="I116" s="190"/>
      <c r="J116" s="136">
        <v>6</v>
      </c>
      <c r="K116" s="139">
        <v>42795</v>
      </c>
      <c r="L116" s="141" t="s">
        <v>1161</v>
      </c>
      <c r="M116" s="137" t="s">
        <v>1384</v>
      </c>
      <c r="N116" s="190"/>
      <c r="O116" s="136">
        <v>7</v>
      </c>
      <c r="P116" s="139">
        <v>42767</v>
      </c>
      <c r="Q116" s="141" t="s">
        <v>1418</v>
      </c>
      <c r="R116" s="137" t="s">
        <v>1382</v>
      </c>
      <c r="S116" s="132"/>
    </row>
    <row r="117" spans="3:19" s="161" customFormat="1" ht="18.75">
      <c r="C117" s="190"/>
      <c r="D117" s="192"/>
      <c r="E117" s="140"/>
      <c r="F117" s="158"/>
      <c r="G117" s="138"/>
      <c r="H117" s="137"/>
      <c r="I117" s="190"/>
      <c r="J117" s="140"/>
      <c r="K117" s="158"/>
      <c r="L117" s="138"/>
      <c r="M117" s="137"/>
      <c r="N117" s="190"/>
      <c r="O117" s="140"/>
      <c r="P117" s="158"/>
      <c r="Q117" s="138"/>
      <c r="R117" s="137"/>
      <c r="S117" s="132"/>
    </row>
    <row r="118" spans="3:19" s="161" customFormat="1" ht="72" customHeight="1">
      <c r="C118" s="190"/>
      <c r="D118" s="192"/>
      <c r="E118" s="136">
        <v>2</v>
      </c>
      <c r="F118" s="135">
        <v>42917</v>
      </c>
      <c r="G118" s="134" t="s">
        <v>1417</v>
      </c>
      <c r="H118" s="133" t="s">
        <v>1416</v>
      </c>
      <c r="I118" s="190"/>
      <c r="J118" s="136">
        <v>7</v>
      </c>
      <c r="K118" s="135">
        <v>42917</v>
      </c>
      <c r="L118" s="134" t="s">
        <v>1415</v>
      </c>
      <c r="M118" s="133" t="s">
        <v>1414</v>
      </c>
      <c r="N118" s="190"/>
      <c r="O118" s="136">
        <v>13</v>
      </c>
      <c r="P118" s="135">
        <v>42917</v>
      </c>
      <c r="Q118" s="134" t="s">
        <v>1379</v>
      </c>
      <c r="R118" s="133" t="s">
        <v>1378</v>
      </c>
      <c r="S118" s="132"/>
    </row>
    <row r="119" spans="3:19" s="161" customFormat="1" ht="18.75">
      <c r="C119" s="132"/>
      <c r="D119" s="132"/>
      <c r="E119" s="140"/>
      <c r="F119" s="132"/>
      <c r="G119" s="132"/>
      <c r="H119" s="132"/>
      <c r="I119" s="132"/>
      <c r="J119" s="140"/>
      <c r="K119" s="132"/>
      <c r="L119" s="132"/>
      <c r="M119" s="132"/>
      <c r="N119" s="132"/>
      <c r="O119" s="140"/>
      <c r="P119" s="132"/>
      <c r="Q119" s="132"/>
      <c r="R119" s="132"/>
      <c r="S119" s="132"/>
    </row>
    <row r="120" spans="3:19" s="161" customFormat="1" ht="18.75">
      <c r="C120" s="190">
        <v>8</v>
      </c>
      <c r="D120" s="148"/>
      <c r="E120" s="140"/>
      <c r="F120" s="147"/>
      <c r="G120" s="138"/>
      <c r="H120" s="138"/>
      <c r="I120" s="190">
        <v>8</v>
      </c>
      <c r="J120" s="140"/>
      <c r="K120" s="147">
        <v>41883</v>
      </c>
      <c r="L120" s="138" t="s">
        <v>1046</v>
      </c>
      <c r="M120" s="138" t="s">
        <v>1045</v>
      </c>
      <c r="N120" s="190">
        <v>8</v>
      </c>
      <c r="O120" s="140"/>
      <c r="P120" s="147">
        <v>41883</v>
      </c>
      <c r="Q120" s="138" t="s">
        <v>1046</v>
      </c>
      <c r="R120" s="138" t="s">
        <v>1045</v>
      </c>
      <c r="S120" s="132"/>
    </row>
    <row r="121" spans="3:19" s="161" customFormat="1" ht="30">
      <c r="C121" s="190"/>
      <c r="D121" s="192" t="s">
        <v>1044</v>
      </c>
      <c r="E121" s="140"/>
      <c r="F121" s="144">
        <v>41944</v>
      </c>
      <c r="G121" s="143" t="s">
        <v>1413</v>
      </c>
      <c r="H121" s="142"/>
      <c r="I121" s="190"/>
      <c r="J121" s="140"/>
      <c r="K121" s="144">
        <v>41944</v>
      </c>
      <c r="L121" s="143" t="s">
        <v>1413</v>
      </c>
      <c r="M121" s="142"/>
      <c r="N121" s="190"/>
      <c r="O121" s="140"/>
      <c r="P121" s="144">
        <v>41944</v>
      </c>
      <c r="Q121" s="143" t="s">
        <v>1412</v>
      </c>
      <c r="R121" s="142"/>
      <c r="S121" s="132"/>
    </row>
    <row r="122" spans="3:19" s="161" customFormat="1" ht="90">
      <c r="C122" s="190"/>
      <c r="D122" s="192"/>
      <c r="E122" s="140"/>
      <c r="F122" s="139">
        <v>42036</v>
      </c>
      <c r="G122" s="141" t="s">
        <v>1411</v>
      </c>
      <c r="H122" s="137" t="s">
        <v>1410</v>
      </c>
      <c r="I122" s="190"/>
      <c r="J122" s="140"/>
      <c r="K122" s="139">
        <v>42064</v>
      </c>
      <c r="L122" s="141" t="s">
        <v>1409</v>
      </c>
      <c r="M122" s="137" t="s">
        <v>1408</v>
      </c>
      <c r="N122" s="190"/>
      <c r="O122" s="140"/>
      <c r="P122" s="139">
        <v>42064</v>
      </c>
      <c r="Q122" s="141" t="s">
        <v>1407</v>
      </c>
      <c r="R122" s="137" t="s">
        <v>1406</v>
      </c>
      <c r="S122" s="132"/>
    </row>
    <row r="123" spans="3:19" s="161" customFormat="1" ht="15" customHeight="1">
      <c r="C123" s="190"/>
      <c r="D123" s="192"/>
      <c r="E123" s="140"/>
      <c r="F123" s="139"/>
      <c r="G123" s="138"/>
      <c r="H123" s="137"/>
      <c r="I123" s="190"/>
      <c r="J123" s="140"/>
      <c r="K123" s="139"/>
      <c r="L123" s="138"/>
      <c r="M123" s="137"/>
      <c r="N123" s="190"/>
      <c r="O123" s="140"/>
      <c r="P123" s="158"/>
      <c r="Q123" s="138"/>
      <c r="R123" s="137"/>
      <c r="S123" s="132"/>
    </row>
    <row r="124" spans="3:19" s="161" customFormat="1" ht="60">
      <c r="C124" s="190"/>
      <c r="D124" s="192"/>
      <c r="E124" s="140"/>
      <c r="F124" s="145"/>
      <c r="G124" s="156"/>
      <c r="H124" s="133"/>
      <c r="I124" s="190"/>
      <c r="J124" s="140"/>
      <c r="K124" s="139">
        <v>42186</v>
      </c>
      <c r="L124" s="141" t="s">
        <v>1405</v>
      </c>
      <c r="M124" s="137" t="s">
        <v>1404</v>
      </c>
      <c r="N124" s="190"/>
      <c r="O124" s="140"/>
      <c r="P124" s="135">
        <v>42186</v>
      </c>
      <c r="Q124" s="134" t="s">
        <v>1403</v>
      </c>
      <c r="R124" s="133" t="s">
        <v>1402</v>
      </c>
      <c r="S124" s="132"/>
    </row>
    <row r="125" spans="3:19" s="161" customFormat="1" ht="18.75" customHeight="1">
      <c r="C125" s="190"/>
      <c r="D125" s="192" t="s">
        <v>1034</v>
      </c>
      <c r="E125" s="140"/>
      <c r="F125" s="144">
        <v>42309</v>
      </c>
      <c r="G125" s="143" t="s">
        <v>1183</v>
      </c>
      <c r="H125" s="142"/>
      <c r="I125" s="190"/>
      <c r="J125" s="140"/>
      <c r="K125" s="144">
        <v>42309</v>
      </c>
      <c r="L125" s="143" t="s">
        <v>1183</v>
      </c>
      <c r="M125" s="142"/>
      <c r="N125" s="190"/>
      <c r="O125" s="140"/>
      <c r="P125" s="144">
        <v>42339</v>
      </c>
      <c r="Q125" s="143" t="s">
        <v>1355</v>
      </c>
      <c r="R125" s="142"/>
      <c r="S125" s="132"/>
    </row>
    <row r="126" spans="3:19" s="161" customFormat="1" ht="75">
      <c r="C126" s="190"/>
      <c r="D126" s="192"/>
      <c r="E126" s="140"/>
      <c r="F126" s="139">
        <v>42401</v>
      </c>
      <c r="G126" s="141" t="s">
        <v>1401</v>
      </c>
      <c r="H126" s="137" t="s">
        <v>1400</v>
      </c>
      <c r="I126" s="190"/>
      <c r="J126" s="140"/>
      <c r="K126" s="139">
        <v>42430</v>
      </c>
      <c r="L126" s="141" t="s">
        <v>1399</v>
      </c>
      <c r="M126" s="137" t="s">
        <v>1398</v>
      </c>
      <c r="N126" s="190"/>
      <c r="O126" s="140"/>
      <c r="P126" s="139">
        <v>42430</v>
      </c>
      <c r="Q126" s="141" t="s">
        <v>1397</v>
      </c>
      <c r="R126" s="137" t="s">
        <v>1396</v>
      </c>
      <c r="S126" s="132"/>
    </row>
    <row r="127" spans="3:19" s="161" customFormat="1" ht="18.75">
      <c r="C127" s="190"/>
      <c r="D127" s="192"/>
      <c r="E127" s="140"/>
      <c r="F127" s="158"/>
      <c r="G127" s="138"/>
      <c r="H127" s="137"/>
      <c r="I127" s="190"/>
      <c r="J127" s="140"/>
      <c r="K127" s="158"/>
      <c r="L127" s="138"/>
      <c r="M127" s="137"/>
      <c r="N127" s="190"/>
      <c r="O127" s="140"/>
      <c r="P127" s="158"/>
      <c r="Q127" s="138"/>
      <c r="R127" s="137"/>
      <c r="S127" s="132"/>
    </row>
    <row r="128" spans="3:19" s="161" customFormat="1" ht="45">
      <c r="C128" s="190"/>
      <c r="D128" s="192"/>
      <c r="E128" s="140"/>
      <c r="F128" s="139">
        <v>42552</v>
      </c>
      <c r="G128" s="141" t="s">
        <v>1395</v>
      </c>
      <c r="H128" s="137" t="s">
        <v>1394</v>
      </c>
      <c r="I128" s="190"/>
      <c r="J128" s="140"/>
      <c r="K128" s="139">
        <v>42522</v>
      </c>
      <c r="L128" s="141" t="s">
        <v>1393</v>
      </c>
      <c r="M128" s="137" t="s">
        <v>1392</v>
      </c>
      <c r="N128" s="190"/>
      <c r="O128" s="140"/>
      <c r="P128" s="139">
        <v>42522</v>
      </c>
      <c r="Q128" s="141" t="s">
        <v>1391</v>
      </c>
      <c r="R128" s="137" t="s">
        <v>1390</v>
      </c>
      <c r="S128" s="132"/>
    </row>
    <row r="129" spans="3:19" s="161" customFormat="1" ht="18.75">
      <c r="C129" s="190"/>
      <c r="D129" s="192"/>
      <c r="E129" s="140"/>
      <c r="F129" s="158"/>
      <c r="G129" s="138"/>
      <c r="H129" s="137"/>
      <c r="I129" s="190"/>
      <c r="J129" s="140"/>
      <c r="K129" s="139"/>
      <c r="L129" s="138"/>
      <c r="M129" s="137"/>
      <c r="N129" s="190"/>
      <c r="O129" s="140"/>
      <c r="P129" s="157"/>
      <c r="Q129" s="138"/>
      <c r="R129" s="137"/>
      <c r="S129" s="132"/>
    </row>
    <row r="130" spans="3:19" s="161" customFormat="1" ht="69" customHeight="1">
      <c r="C130" s="190"/>
      <c r="D130" s="192"/>
      <c r="E130" s="140"/>
      <c r="F130" s="145"/>
      <c r="G130" s="156"/>
      <c r="H130" s="133"/>
      <c r="I130" s="190"/>
      <c r="J130" s="140"/>
      <c r="K130" s="145"/>
      <c r="L130" s="156"/>
      <c r="M130" s="133"/>
      <c r="N130" s="190"/>
      <c r="O130" s="140"/>
      <c r="P130" s="135">
        <v>42644</v>
      </c>
      <c r="Q130" s="134" t="s">
        <v>1389</v>
      </c>
      <c r="R130" s="133" t="s">
        <v>1388</v>
      </c>
      <c r="S130" s="132"/>
    </row>
    <row r="131" spans="3:19" s="161" customFormat="1">
      <c r="C131" s="190"/>
      <c r="D131" s="193" t="s">
        <v>1021</v>
      </c>
      <c r="E131" s="132"/>
      <c r="F131" s="144">
        <v>42705</v>
      </c>
      <c r="G131" s="143" t="s">
        <v>1387</v>
      </c>
      <c r="H131" s="142"/>
      <c r="I131" s="190"/>
      <c r="J131" s="132"/>
      <c r="K131" s="144">
        <v>42705</v>
      </c>
      <c r="L131" s="143" t="s">
        <v>1387</v>
      </c>
      <c r="M131" s="142"/>
      <c r="N131" s="190"/>
      <c r="O131" s="132"/>
      <c r="P131" s="144">
        <v>42705</v>
      </c>
      <c r="Q131" s="143" t="s">
        <v>1387</v>
      </c>
      <c r="R131" s="142"/>
      <c r="S131" s="132"/>
    </row>
    <row r="132" spans="3:19" s="161" customFormat="1" ht="59.25" customHeight="1">
      <c r="C132" s="190"/>
      <c r="D132" s="194"/>
      <c r="E132" s="136">
        <v>7</v>
      </c>
      <c r="F132" s="139">
        <v>42767</v>
      </c>
      <c r="G132" s="141" t="s">
        <v>1386</v>
      </c>
      <c r="H132" s="137" t="s">
        <v>1385</v>
      </c>
      <c r="I132" s="190"/>
      <c r="J132" s="136">
        <v>6</v>
      </c>
      <c r="K132" s="139">
        <v>42795</v>
      </c>
      <c r="L132" s="141" t="s">
        <v>1161</v>
      </c>
      <c r="M132" s="137" t="s">
        <v>1384</v>
      </c>
      <c r="N132" s="190"/>
      <c r="O132" s="150">
        <v>7</v>
      </c>
      <c r="P132" s="139">
        <v>42767</v>
      </c>
      <c r="Q132" s="141" t="s">
        <v>1383</v>
      </c>
      <c r="R132" s="137" t="s">
        <v>1382</v>
      </c>
      <c r="S132" s="132"/>
    </row>
    <row r="133" spans="3:19" s="161" customFormat="1" ht="18.75">
      <c r="C133" s="190"/>
      <c r="D133" s="194"/>
      <c r="E133" s="140"/>
      <c r="F133" s="158"/>
      <c r="G133" s="138"/>
      <c r="H133" s="137"/>
      <c r="I133" s="190"/>
      <c r="J133" s="140"/>
      <c r="K133" s="158"/>
      <c r="L133" s="138"/>
      <c r="M133" s="137"/>
      <c r="N133" s="190"/>
      <c r="O133" s="140"/>
      <c r="P133" s="158"/>
      <c r="Q133" s="138"/>
      <c r="R133" s="137"/>
      <c r="S133" s="132"/>
    </row>
    <row r="134" spans="3:19" s="161" customFormat="1" ht="60.75" customHeight="1">
      <c r="C134" s="190"/>
      <c r="D134" s="194"/>
      <c r="E134" s="136">
        <v>1</v>
      </c>
      <c r="F134" s="139">
        <v>42767</v>
      </c>
      <c r="G134" s="141" t="s">
        <v>1381</v>
      </c>
      <c r="H134" s="137" t="s">
        <v>1380</v>
      </c>
      <c r="I134" s="190"/>
      <c r="J134" s="136">
        <v>6</v>
      </c>
      <c r="K134" s="139">
        <v>42917</v>
      </c>
      <c r="L134" s="141" t="s">
        <v>1200</v>
      </c>
      <c r="M134" s="137" t="s">
        <v>1199</v>
      </c>
      <c r="N134" s="190"/>
      <c r="O134" s="150">
        <v>13</v>
      </c>
      <c r="P134" s="139">
        <v>42917</v>
      </c>
      <c r="Q134" s="141" t="s">
        <v>1379</v>
      </c>
      <c r="R134" s="137" t="s">
        <v>1378</v>
      </c>
      <c r="S134" s="132"/>
    </row>
    <row r="135" spans="3:19" s="161" customFormat="1" ht="18.75">
      <c r="C135" s="190"/>
      <c r="D135" s="194"/>
      <c r="E135" s="140"/>
      <c r="F135" s="158"/>
      <c r="G135" s="138"/>
      <c r="H135" s="137"/>
      <c r="I135" s="190"/>
      <c r="J135" s="140"/>
      <c r="K135" s="158"/>
      <c r="L135" s="138"/>
      <c r="M135" s="137"/>
      <c r="N135" s="190"/>
      <c r="O135" s="140"/>
      <c r="P135" s="158"/>
      <c r="Q135" s="138"/>
      <c r="R135" s="137"/>
      <c r="S135" s="132"/>
    </row>
    <row r="136" spans="3:19" s="161" customFormat="1" ht="63.75" customHeight="1">
      <c r="C136" s="190"/>
      <c r="D136" s="195"/>
      <c r="E136" s="136">
        <v>7</v>
      </c>
      <c r="F136" s="135">
        <v>42767</v>
      </c>
      <c r="G136" s="134" t="s">
        <v>1257</v>
      </c>
      <c r="H136" s="133" t="s">
        <v>1377</v>
      </c>
      <c r="I136" s="190"/>
      <c r="J136" s="140"/>
      <c r="K136" s="145"/>
      <c r="L136" s="156"/>
      <c r="M136" s="133"/>
      <c r="N136" s="190"/>
      <c r="O136" s="140"/>
      <c r="P136" s="145"/>
      <c r="Q136" s="156"/>
      <c r="R136" s="133"/>
      <c r="S136" s="132"/>
    </row>
    <row r="137" spans="3:19" s="161" customFormat="1" ht="18.75">
      <c r="C137" s="132"/>
      <c r="D137" s="132"/>
      <c r="E137" s="140"/>
      <c r="F137" s="132"/>
      <c r="G137" s="132"/>
      <c r="H137" s="132"/>
      <c r="I137" s="132"/>
      <c r="J137" s="140"/>
      <c r="K137" s="132"/>
      <c r="L137" s="132"/>
      <c r="M137" s="132"/>
      <c r="N137" s="132"/>
      <c r="O137" s="140"/>
      <c r="P137" s="132"/>
      <c r="Q137" s="132"/>
      <c r="R137" s="132"/>
      <c r="S137" s="132"/>
    </row>
    <row r="138" spans="3:19" s="161" customFormat="1">
      <c r="C138" s="162"/>
      <c r="D138" s="162"/>
      <c r="E138" s="23"/>
      <c r="F138" s="162"/>
      <c r="G138" s="162"/>
      <c r="H138" s="162"/>
      <c r="I138" s="162"/>
      <c r="J138" s="23"/>
      <c r="K138" s="162"/>
      <c r="L138" s="162"/>
      <c r="M138" s="162"/>
      <c r="N138" s="162"/>
      <c r="O138" s="23"/>
    </row>
  </sheetData>
  <mergeCells count="52">
    <mergeCell ref="N62:N76"/>
    <mergeCell ref="D63:D68"/>
    <mergeCell ref="C78:C90"/>
    <mergeCell ref="I78:I90"/>
    <mergeCell ref="N78:N90"/>
    <mergeCell ref="D69:D72"/>
    <mergeCell ref="D79:D82"/>
    <mergeCell ref="D73:D76"/>
    <mergeCell ref="D83:D86"/>
    <mergeCell ref="D87:D90"/>
    <mergeCell ref="N24:N41"/>
    <mergeCell ref="D25:D30"/>
    <mergeCell ref="C43:C60"/>
    <mergeCell ref="I43:I60"/>
    <mergeCell ref="D44:D49"/>
    <mergeCell ref="N43:N60"/>
    <mergeCell ref="D31:D35"/>
    <mergeCell ref="D50:D54"/>
    <mergeCell ref="D36:D41"/>
    <mergeCell ref="D55:D60"/>
    <mergeCell ref="C120:C136"/>
    <mergeCell ref="I120:I136"/>
    <mergeCell ref="D12:D16"/>
    <mergeCell ref="D17:D22"/>
    <mergeCell ref="C24:C41"/>
    <mergeCell ref="I24:I41"/>
    <mergeCell ref="C62:C76"/>
    <mergeCell ref="I62:I76"/>
    <mergeCell ref="C1:S1"/>
    <mergeCell ref="F2:H2"/>
    <mergeCell ref="K2:M2"/>
    <mergeCell ref="P2:R2"/>
    <mergeCell ref="C3:C22"/>
    <mergeCell ref="I3:I22"/>
    <mergeCell ref="N3:N22"/>
    <mergeCell ref="D6:D11"/>
    <mergeCell ref="D111:D114"/>
    <mergeCell ref="D125:D130"/>
    <mergeCell ref="N120:N136"/>
    <mergeCell ref="D121:D124"/>
    <mergeCell ref="C92:C104"/>
    <mergeCell ref="I92:I104"/>
    <mergeCell ref="N92:N104"/>
    <mergeCell ref="D93:D96"/>
    <mergeCell ref="D97:D100"/>
    <mergeCell ref="D101:D104"/>
    <mergeCell ref="D131:D136"/>
    <mergeCell ref="D115:D118"/>
    <mergeCell ref="C106:C118"/>
    <mergeCell ref="I106:I118"/>
    <mergeCell ref="N106:N118"/>
    <mergeCell ref="D107:D110"/>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Q137"/>
  <sheetViews>
    <sheetView zoomScale="55" zoomScaleNormal="55" workbookViewId="0">
      <selection activeCell="J27" sqref="J27"/>
    </sheetView>
  </sheetViews>
  <sheetFormatPr defaultRowHeight="15"/>
  <cols>
    <col min="2" max="2" width="11" bestFit="1" customWidth="1"/>
    <col min="3" max="3" width="16.140625" customWidth="1"/>
    <col min="4" max="4" width="17" customWidth="1"/>
    <col min="5" max="5" width="54.28515625" customWidth="1"/>
    <col min="6" max="6" width="65" customWidth="1"/>
    <col min="7" max="7" width="3.7109375" customWidth="1"/>
    <col min="8" max="8" width="18" customWidth="1"/>
    <col min="9" max="9" width="17" bestFit="1" customWidth="1"/>
    <col min="10" max="10" width="51.85546875" customWidth="1"/>
    <col min="11" max="11" width="64.42578125" customWidth="1"/>
    <col min="12" max="12" width="3.7109375" bestFit="1" customWidth="1"/>
    <col min="13" max="13" width="13.85546875" customWidth="1"/>
    <col min="14" max="14" width="17" bestFit="1" customWidth="1"/>
    <col min="15" max="15" width="50.28515625" bestFit="1" customWidth="1"/>
    <col min="16" max="16" width="98.85546875" bestFit="1" customWidth="1"/>
    <col min="17" max="17" width="9.140625" customWidth="1"/>
  </cols>
  <sheetData>
    <row r="1" spans="1:17" ht="62.25" thickBot="1">
      <c r="A1" s="196" t="s">
        <v>491</v>
      </c>
      <c r="B1" s="197"/>
      <c r="C1" s="197"/>
      <c r="D1" s="197"/>
      <c r="E1" s="197"/>
      <c r="F1" s="197"/>
      <c r="G1" s="197"/>
      <c r="H1" s="197"/>
      <c r="I1" s="197"/>
      <c r="J1" s="197"/>
      <c r="K1" s="197"/>
      <c r="L1" s="197"/>
      <c r="M1" s="197"/>
      <c r="N1" s="197"/>
      <c r="O1" s="197"/>
      <c r="P1" s="197"/>
      <c r="Q1" s="198"/>
    </row>
    <row r="2" spans="1:17" ht="26.25">
      <c r="A2" s="132"/>
      <c r="B2" s="132"/>
      <c r="C2" s="132"/>
      <c r="D2" s="201" t="s">
        <v>480</v>
      </c>
      <c r="E2" s="201"/>
      <c r="F2" s="201"/>
      <c r="G2" s="132"/>
      <c r="H2" s="132"/>
      <c r="I2" s="201" t="s">
        <v>481</v>
      </c>
      <c r="J2" s="201"/>
      <c r="K2" s="201"/>
      <c r="L2" s="132"/>
      <c r="M2" s="132"/>
      <c r="N2" s="201" t="s">
        <v>482</v>
      </c>
      <c r="O2" s="201"/>
      <c r="P2" s="201"/>
      <c r="Q2" s="132"/>
    </row>
    <row r="3" spans="1:17" ht="18.75">
      <c r="A3" s="202">
        <v>1</v>
      </c>
      <c r="B3" s="179"/>
      <c r="C3" s="140"/>
      <c r="D3" s="181"/>
      <c r="E3" s="181"/>
      <c r="F3" s="181"/>
      <c r="G3" s="202">
        <v>1</v>
      </c>
      <c r="H3" s="140"/>
      <c r="I3" s="181"/>
      <c r="J3" s="181" t="s">
        <v>481</v>
      </c>
      <c r="K3" s="181"/>
      <c r="L3" s="202">
        <v>1</v>
      </c>
      <c r="M3" s="140"/>
      <c r="N3" s="181" t="s">
        <v>482</v>
      </c>
      <c r="O3" s="181"/>
      <c r="P3" s="181"/>
      <c r="Q3" s="180"/>
    </row>
    <row r="4" spans="1:17" ht="18.75">
      <c r="A4" s="202"/>
      <c r="B4" s="179"/>
      <c r="C4" s="140"/>
      <c r="D4" s="153" t="s">
        <v>483</v>
      </c>
      <c r="E4" s="153" t="s">
        <v>1149</v>
      </c>
      <c r="F4" s="153" t="s">
        <v>1148</v>
      </c>
      <c r="G4" s="202"/>
      <c r="H4" s="140"/>
      <c r="I4" s="153" t="s">
        <v>483</v>
      </c>
      <c r="J4" s="153" t="s">
        <v>1149</v>
      </c>
      <c r="K4" s="153" t="s">
        <v>1148</v>
      </c>
      <c r="L4" s="202"/>
      <c r="M4" s="140"/>
      <c r="N4" s="153" t="s">
        <v>483</v>
      </c>
      <c r="O4" s="153" t="s">
        <v>1149</v>
      </c>
      <c r="P4" s="153" t="s">
        <v>1148</v>
      </c>
      <c r="Q4" s="152"/>
    </row>
    <row r="5" spans="1:17" ht="30">
      <c r="A5" s="202"/>
      <c r="B5" s="179"/>
      <c r="C5" s="140"/>
      <c r="D5" s="147">
        <v>41883</v>
      </c>
      <c r="E5" s="138" t="s">
        <v>1639</v>
      </c>
      <c r="F5" s="138" t="s">
        <v>1772</v>
      </c>
      <c r="G5" s="202"/>
      <c r="H5" s="140"/>
      <c r="I5" s="147">
        <v>41883</v>
      </c>
      <c r="J5" s="138" t="s">
        <v>1639</v>
      </c>
      <c r="K5" s="138" t="s">
        <v>1638</v>
      </c>
      <c r="L5" s="202"/>
      <c r="M5" s="140"/>
      <c r="N5" s="147">
        <v>41883</v>
      </c>
      <c r="O5" s="138" t="s">
        <v>1639</v>
      </c>
      <c r="P5" s="138" t="s">
        <v>1638</v>
      </c>
      <c r="Q5" s="132"/>
    </row>
    <row r="6" spans="1:17" ht="18.75">
      <c r="A6" s="202"/>
      <c r="B6" s="192" t="s">
        <v>1044</v>
      </c>
      <c r="C6" s="140"/>
      <c r="D6" s="176">
        <v>41913</v>
      </c>
      <c r="E6" s="175" t="s">
        <v>1793</v>
      </c>
      <c r="F6" s="174"/>
      <c r="G6" s="202"/>
      <c r="H6" s="140"/>
      <c r="I6" s="144">
        <v>41913</v>
      </c>
      <c r="J6" s="143" t="s">
        <v>1770</v>
      </c>
      <c r="K6" s="142"/>
      <c r="L6" s="202"/>
      <c r="M6" s="140"/>
      <c r="N6" s="144">
        <v>41913</v>
      </c>
      <c r="O6" s="143" t="s">
        <v>1770</v>
      </c>
      <c r="P6" s="142"/>
      <c r="Q6" s="132"/>
    </row>
    <row r="7" spans="1:17" ht="90">
      <c r="A7" s="202"/>
      <c r="B7" s="192"/>
      <c r="C7" s="140"/>
      <c r="D7" s="173">
        <v>41913</v>
      </c>
      <c r="E7" s="172" t="s">
        <v>1769</v>
      </c>
      <c r="F7" s="169" t="s">
        <v>1792</v>
      </c>
      <c r="G7" s="202"/>
      <c r="H7" s="140"/>
      <c r="I7" s="139">
        <v>41913</v>
      </c>
      <c r="J7" s="141" t="s">
        <v>1633</v>
      </c>
      <c r="K7" s="137" t="s">
        <v>1791</v>
      </c>
      <c r="L7" s="202"/>
      <c r="M7" s="140"/>
      <c r="N7" s="139">
        <v>41913</v>
      </c>
      <c r="O7" s="141" t="s">
        <v>1631</v>
      </c>
      <c r="P7" s="137" t="s">
        <v>1790</v>
      </c>
      <c r="Q7" s="132"/>
    </row>
    <row r="8" spans="1:17" ht="18.75">
      <c r="A8" s="202"/>
      <c r="B8" s="192"/>
      <c r="C8" s="140"/>
      <c r="D8" s="173">
        <v>42156</v>
      </c>
      <c r="E8" s="170" t="s">
        <v>1767</v>
      </c>
      <c r="F8" s="169"/>
      <c r="G8" s="202"/>
      <c r="H8" s="140"/>
      <c r="I8" s="139">
        <v>42125</v>
      </c>
      <c r="J8" s="138" t="s">
        <v>1628</v>
      </c>
      <c r="K8" s="137"/>
      <c r="L8" s="202"/>
      <c r="M8" s="140"/>
      <c r="N8" s="139">
        <v>42156</v>
      </c>
      <c r="O8" s="138" t="s">
        <v>1628</v>
      </c>
      <c r="P8" s="137"/>
      <c r="Q8" s="132"/>
    </row>
    <row r="9" spans="1:17" ht="75">
      <c r="A9" s="202"/>
      <c r="B9" s="192"/>
      <c r="C9" s="140"/>
      <c r="D9" s="166">
        <v>42248</v>
      </c>
      <c r="E9" s="165" t="s">
        <v>1789</v>
      </c>
      <c r="F9" s="164" t="s">
        <v>1788</v>
      </c>
      <c r="G9" s="202"/>
      <c r="H9" s="140"/>
      <c r="I9" s="135">
        <v>42186</v>
      </c>
      <c r="J9" s="134" t="s">
        <v>1787</v>
      </c>
      <c r="K9" s="133" t="s">
        <v>1786</v>
      </c>
      <c r="L9" s="202"/>
      <c r="M9" s="140"/>
      <c r="N9" s="135">
        <v>42248</v>
      </c>
      <c r="O9" s="134" t="s">
        <v>1785</v>
      </c>
      <c r="P9" s="133" t="s">
        <v>1763</v>
      </c>
      <c r="Q9" s="132"/>
    </row>
    <row r="10" spans="1:17" ht="18.75">
      <c r="A10" s="202"/>
      <c r="B10" s="192" t="s">
        <v>1034</v>
      </c>
      <c r="C10" s="140"/>
      <c r="D10" s="176">
        <v>42309</v>
      </c>
      <c r="E10" s="175" t="s">
        <v>1183</v>
      </c>
      <c r="F10" s="174"/>
      <c r="G10" s="202"/>
      <c r="H10" s="140"/>
      <c r="I10" s="176">
        <v>42309</v>
      </c>
      <c r="J10" s="175" t="s">
        <v>1183</v>
      </c>
      <c r="K10" s="174"/>
      <c r="L10" s="202"/>
      <c r="M10" s="140"/>
      <c r="N10" s="176">
        <v>42339</v>
      </c>
      <c r="O10" s="175" t="s">
        <v>1355</v>
      </c>
      <c r="P10" s="174"/>
      <c r="Q10" s="132"/>
    </row>
    <row r="11" spans="1:17" ht="75">
      <c r="A11" s="202"/>
      <c r="B11" s="192"/>
      <c r="C11" s="140"/>
      <c r="D11" s="173">
        <v>42430</v>
      </c>
      <c r="E11" s="172" t="s">
        <v>1762</v>
      </c>
      <c r="F11" s="169" t="s">
        <v>1761</v>
      </c>
      <c r="G11" s="202"/>
      <c r="H11" s="140"/>
      <c r="I11" s="173">
        <v>42430</v>
      </c>
      <c r="J11" s="172" t="s">
        <v>1760</v>
      </c>
      <c r="K11" s="169" t="s">
        <v>1737</v>
      </c>
      <c r="L11" s="202"/>
      <c r="M11" s="140"/>
      <c r="N11" s="173">
        <v>42461</v>
      </c>
      <c r="O11" s="172" t="s">
        <v>1784</v>
      </c>
      <c r="P11" s="169" t="s">
        <v>1783</v>
      </c>
      <c r="Q11" s="132"/>
    </row>
    <row r="12" spans="1:17" ht="18.75">
      <c r="A12" s="202"/>
      <c r="B12" s="192"/>
      <c r="C12" s="140"/>
      <c r="D12" s="173"/>
      <c r="E12" s="170"/>
      <c r="F12" s="169"/>
      <c r="G12" s="202"/>
      <c r="H12" s="140"/>
      <c r="I12" s="171"/>
      <c r="J12" s="170"/>
      <c r="K12" s="169"/>
      <c r="L12" s="202"/>
      <c r="M12" s="140"/>
      <c r="N12" s="171"/>
      <c r="O12" s="170"/>
      <c r="P12" s="169"/>
      <c r="Q12" s="132"/>
    </row>
    <row r="13" spans="1:17" ht="60">
      <c r="A13" s="202"/>
      <c r="B13" s="192"/>
      <c r="C13" s="140"/>
      <c r="D13" s="166"/>
      <c r="E13" s="167"/>
      <c r="F13" s="164"/>
      <c r="G13" s="202"/>
      <c r="H13" s="140"/>
      <c r="I13" s="166">
        <v>42583</v>
      </c>
      <c r="J13" s="165" t="s">
        <v>1782</v>
      </c>
      <c r="K13" s="164" t="s">
        <v>1781</v>
      </c>
      <c r="L13" s="202"/>
      <c r="M13" s="140"/>
      <c r="N13" s="166">
        <v>42614</v>
      </c>
      <c r="O13" s="165" t="s">
        <v>1780</v>
      </c>
      <c r="P13" s="164" t="s">
        <v>1779</v>
      </c>
      <c r="Q13" s="132"/>
    </row>
    <row r="14" spans="1:17" ht="18.75" customHeight="1">
      <c r="A14" s="202"/>
      <c r="B14" s="193" t="s">
        <v>1021</v>
      </c>
      <c r="C14" s="140"/>
      <c r="D14" s="144">
        <v>42644</v>
      </c>
      <c r="E14" s="143" t="s">
        <v>1604</v>
      </c>
      <c r="F14" s="142"/>
      <c r="G14" s="202"/>
      <c r="H14" s="140"/>
      <c r="I14" s="144">
        <v>42705</v>
      </c>
      <c r="J14" s="143" t="s">
        <v>1603</v>
      </c>
      <c r="K14" s="142"/>
      <c r="L14" s="202"/>
      <c r="M14" s="140"/>
      <c r="N14" s="144">
        <v>42705</v>
      </c>
      <c r="O14" s="143" t="s">
        <v>1603</v>
      </c>
      <c r="P14" s="142"/>
      <c r="Q14" s="132"/>
    </row>
    <row r="15" spans="1:17" ht="60.75" customHeight="1">
      <c r="A15" s="202"/>
      <c r="B15" s="194"/>
      <c r="C15" s="149">
        <f>500/4/10</f>
        <v>12.5</v>
      </c>
      <c r="D15" s="139">
        <v>42675</v>
      </c>
      <c r="E15" s="141" t="s">
        <v>1729</v>
      </c>
      <c r="F15" s="137" t="s">
        <v>1753</v>
      </c>
      <c r="G15" s="202"/>
      <c r="H15" s="136">
        <v>4</v>
      </c>
      <c r="I15" s="139">
        <v>42795</v>
      </c>
      <c r="J15" s="141" t="s">
        <v>1752</v>
      </c>
      <c r="K15" s="137" t="s">
        <v>1751</v>
      </c>
      <c r="L15" s="202"/>
      <c r="M15" s="136">
        <v>6</v>
      </c>
      <c r="N15" s="139">
        <v>42826</v>
      </c>
      <c r="O15" s="141" t="s">
        <v>1701</v>
      </c>
      <c r="P15" s="137" t="s">
        <v>1778</v>
      </c>
      <c r="Q15" s="132"/>
    </row>
    <row r="16" spans="1:17" ht="18.75">
      <c r="A16" s="202"/>
      <c r="B16" s="194"/>
      <c r="C16" s="140"/>
      <c r="D16" s="158"/>
      <c r="E16" s="138"/>
      <c r="F16" s="137"/>
      <c r="G16" s="202"/>
      <c r="H16" s="140"/>
      <c r="I16" s="158"/>
      <c r="J16" s="138"/>
      <c r="K16" s="137"/>
      <c r="L16" s="202"/>
      <c r="M16" s="140"/>
      <c r="N16" s="158"/>
      <c r="O16" s="138"/>
      <c r="P16" s="137"/>
      <c r="Q16" s="132"/>
    </row>
    <row r="17" spans="1:17" ht="75.75" customHeight="1">
      <c r="A17" s="202"/>
      <c r="B17" s="194"/>
      <c r="C17" s="149">
        <v>10</v>
      </c>
      <c r="D17" s="139">
        <v>42887</v>
      </c>
      <c r="E17" s="141" t="s">
        <v>1777</v>
      </c>
      <c r="F17" s="137" t="s">
        <v>1725</v>
      </c>
      <c r="G17" s="202"/>
      <c r="H17" s="136">
        <v>17</v>
      </c>
      <c r="I17" s="139">
        <v>42856</v>
      </c>
      <c r="J17" s="141" t="s">
        <v>1749</v>
      </c>
      <c r="K17" s="137" t="s">
        <v>1776</v>
      </c>
      <c r="L17" s="202"/>
      <c r="M17" s="136">
        <v>13</v>
      </c>
      <c r="N17" s="139">
        <v>42917</v>
      </c>
      <c r="O17" s="141" t="s">
        <v>1775</v>
      </c>
      <c r="P17" s="137" t="s">
        <v>1774</v>
      </c>
      <c r="Q17" s="132"/>
    </row>
    <row r="18" spans="1:17" ht="18.75">
      <c r="A18" s="179"/>
      <c r="B18" s="194"/>
      <c r="C18" s="140"/>
      <c r="D18" s="158"/>
      <c r="E18" s="138"/>
      <c r="F18" s="137"/>
      <c r="G18" s="179"/>
      <c r="H18" s="140"/>
      <c r="I18" s="158"/>
      <c r="J18" s="138"/>
      <c r="K18" s="137"/>
      <c r="L18" s="179"/>
      <c r="M18" s="140"/>
      <c r="N18" s="158"/>
      <c r="O18" s="138"/>
      <c r="P18" s="137"/>
      <c r="Q18" s="132"/>
    </row>
    <row r="19" spans="1:17" ht="52.5" customHeight="1">
      <c r="A19" s="179"/>
      <c r="B19" s="195"/>
      <c r="C19" s="140"/>
      <c r="D19" s="145"/>
      <c r="E19" s="156"/>
      <c r="F19" s="133"/>
      <c r="G19" s="179"/>
      <c r="H19" s="136">
        <v>9</v>
      </c>
      <c r="I19" s="145">
        <v>42979</v>
      </c>
      <c r="J19" s="156" t="s">
        <v>1745</v>
      </c>
      <c r="K19" s="133" t="s">
        <v>1773</v>
      </c>
      <c r="L19" s="179"/>
      <c r="M19" s="140"/>
      <c r="N19" s="145"/>
      <c r="O19" s="156"/>
      <c r="P19" s="133"/>
      <c r="Q19" s="132"/>
    </row>
    <row r="20" spans="1:17" ht="18.75">
      <c r="A20" s="132"/>
      <c r="B20" s="132"/>
      <c r="C20" s="140"/>
      <c r="D20" s="132"/>
      <c r="E20" s="132"/>
      <c r="F20" s="132"/>
      <c r="G20" s="132"/>
      <c r="H20" s="140"/>
      <c r="I20" s="132"/>
      <c r="J20" s="132"/>
      <c r="K20" s="132"/>
      <c r="L20" s="132"/>
      <c r="M20" s="140"/>
      <c r="N20" s="132"/>
      <c r="O20" s="132"/>
      <c r="P20" s="132"/>
      <c r="Q20" s="132"/>
    </row>
    <row r="21" spans="1:17" ht="30">
      <c r="A21" s="190">
        <v>2</v>
      </c>
      <c r="B21" s="148"/>
      <c r="C21" s="132"/>
      <c r="D21" s="147">
        <v>41883</v>
      </c>
      <c r="E21" s="138" t="s">
        <v>1639</v>
      </c>
      <c r="F21" s="138" t="s">
        <v>1772</v>
      </c>
      <c r="G21" s="190">
        <v>2</v>
      </c>
      <c r="H21" s="132"/>
      <c r="I21" s="147">
        <v>41883</v>
      </c>
      <c r="J21" s="138" t="s">
        <v>1639</v>
      </c>
      <c r="K21" s="138" t="s">
        <v>1638</v>
      </c>
      <c r="L21" s="190">
        <v>2</v>
      </c>
      <c r="M21" s="132"/>
      <c r="N21" s="147">
        <v>41883</v>
      </c>
      <c r="O21" s="138" t="s">
        <v>1639</v>
      </c>
      <c r="P21" s="138" t="s">
        <v>1638</v>
      </c>
      <c r="Q21" s="132"/>
    </row>
    <row r="22" spans="1:17" ht="18.75">
      <c r="A22" s="190"/>
      <c r="B22" s="192" t="s">
        <v>1044</v>
      </c>
      <c r="C22" s="140"/>
      <c r="D22" s="176">
        <v>41913</v>
      </c>
      <c r="E22" s="175" t="s">
        <v>1771</v>
      </c>
      <c r="F22" s="174"/>
      <c r="G22" s="190"/>
      <c r="H22" s="140"/>
      <c r="I22" s="176">
        <v>41913</v>
      </c>
      <c r="J22" s="175" t="s">
        <v>1636</v>
      </c>
      <c r="K22" s="174"/>
      <c r="L22" s="190"/>
      <c r="M22" s="140"/>
      <c r="N22" s="147">
        <v>41913</v>
      </c>
      <c r="O22" s="138" t="s">
        <v>1770</v>
      </c>
      <c r="P22" s="138"/>
      <c r="Q22" s="132"/>
    </row>
    <row r="23" spans="1:17" ht="105">
      <c r="A23" s="190"/>
      <c r="B23" s="192"/>
      <c r="C23" s="140"/>
      <c r="D23" s="173">
        <v>41913</v>
      </c>
      <c r="E23" s="172" t="s">
        <v>1769</v>
      </c>
      <c r="F23" s="169" t="s">
        <v>1768</v>
      </c>
      <c r="G23" s="190"/>
      <c r="H23" s="140"/>
      <c r="I23" s="173">
        <v>41913</v>
      </c>
      <c r="J23" s="172" t="s">
        <v>1633</v>
      </c>
      <c r="K23" s="169" t="s">
        <v>1632</v>
      </c>
      <c r="L23" s="190"/>
      <c r="M23" s="140"/>
      <c r="N23" s="144">
        <v>41913</v>
      </c>
      <c r="O23" s="178" t="s">
        <v>1631</v>
      </c>
      <c r="P23" s="142" t="s">
        <v>1630</v>
      </c>
      <c r="Q23" s="132"/>
    </row>
    <row r="24" spans="1:17" ht="18.75">
      <c r="A24" s="190"/>
      <c r="B24" s="192"/>
      <c r="C24" s="140"/>
      <c r="D24" s="173">
        <v>42156</v>
      </c>
      <c r="E24" s="170" t="s">
        <v>1767</v>
      </c>
      <c r="F24" s="169"/>
      <c r="G24" s="190"/>
      <c r="H24" s="140"/>
      <c r="I24" s="171">
        <v>42125</v>
      </c>
      <c r="J24" s="170" t="s">
        <v>1628</v>
      </c>
      <c r="K24" s="169"/>
      <c r="L24" s="190"/>
      <c r="M24" s="140"/>
      <c r="N24" s="139">
        <v>42125</v>
      </c>
      <c r="O24" s="138" t="s">
        <v>1628</v>
      </c>
      <c r="P24" s="137"/>
      <c r="Q24" s="132"/>
    </row>
    <row r="25" spans="1:17" ht="75">
      <c r="A25" s="190"/>
      <c r="B25" s="192"/>
      <c r="C25" s="140"/>
      <c r="D25" s="166">
        <v>42248</v>
      </c>
      <c r="E25" s="165" t="s">
        <v>1364</v>
      </c>
      <c r="F25" s="164" t="s">
        <v>1766</v>
      </c>
      <c r="G25" s="190"/>
      <c r="H25" s="140"/>
      <c r="I25" s="166">
        <v>42186</v>
      </c>
      <c r="J25" s="165" t="s">
        <v>1765</v>
      </c>
      <c r="K25" s="164" t="s">
        <v>1742</v>
      </c>
      <c r="L25" s="190"/>
      <c r="M25" s="140"/>
      <c r="N25" s="135">
        <v>42248</v>
      </c>
      <c r="O25" s="134" t="s">
        <v>1764</v>
      </c>
      <c r="P25" s="133" t="s">
        <v>1763</v>
      </c>
      <c r="Q25" s="132"/>
    </row>
    <row r="26" spans="1:17" ht="18.75">
      <c r="A26" s="190"/>
      <c r="B26" s="192" t="s">
        <v>1034</v>
      </c>
      <c r="C26" s="140"/>
      <c r="D26" s="176">
        <v>42309</v>
      </c>
      <c r="E26" s="175" t="s">
        <v>1183</v>
      </c>
      <c r="F26" s="174"/>
      <c r="G26" s="190"/>
      <c r="H26" s="140"/>
      <c r="I26" s="176">
        <v>42309</v>
      </c>
      <c r="J26" s="175" t="s">
        <v>1183</v>
      </c>
      <c r="K26" s="174"/>
      <c r="L26" s="190"/>
      <c r="M26" s="140"/>
      <c r="N26" s="176">
        <v>42401</v>
      </c>
      <c r="O26" s="175" t="s">
        <v>1355</v>
      </c>
      <c r="P26" s="174"/>
      <c r="Q26" s="132"/>
    </row>
    <row r="27" spans="1:17" ht="75">
      <c r="A27" s="190"/>
      <c r="B27" s="192"/>
      <c r="C27" s="140"/>
      <c r="D27" s="173">
        <v>42430</v>
      </c>
      <c r="E27" s="172" t="s">
        <v>1762</v>
      </c>
      <c r="F27" s="169" t="s">
        <v>1761</v>
      </c>
      <c r="G27" s="190"/>
      <c r="H27" s="140"/>
      <c r="I27" s="173">
        <v>42430</v>
      </c>
      <c r="J27" s="172" t="s">
        <v>1760</v>
      </c>
      <c r="K27" s="169" t="s">
        <v>1737</v>
      </c>
      <c r="L27" s="190"/>
      <c r="M27" s="140"/>
      <c r="N27" s="173">
        <v>42461</v>
      </c>
      <c r="O27" s="172" t="s">
        <v>1759</v>
      </c>
      <c r="P27" s="169" t="s">
        <v>1758</v>
      </c>
      <c r="Q27" s="132"/>
    </row>
    <row r="28" spans="1:17" ht="18.75">
      <c r="A28" s="190"/>
      <c r="B28" s="192"/>
      <c r="C28" s="140"/>
      <c r="D28" s="173"/>
      <c r="E28" s="170"/>
      <c r="F28" s="169"/>
      <c r="G28" s="190"/>
      <c r="H28" s="140"/>
      <c r="I28" s="171"/>
      <c r="J28" s="170" t="s">
        <v>1614</v>
      </c>
      <c r="K28" s="169"/>
      <c r="L28" s="190"/>
      <c r="M28" s="140"/>
      <c r="N28" s="171"/>
      <c r="O28" s="170"/>
      <c r="P28" s="169"/>
      <c r="Q28" s="132"/>
    </row>
    <row r="29" spans="1:17" ht="60">
      <c r="A29" s="190"/>
      <c r="B29" s="192"/>
      <c r="C29" s="140"/>
      <c r="D29" s="166"/>
      <c r="E29" s="167"/>
      <c r="F29" s="164"/>
      <c r="G29" s="190"/>
      <c r="H29" s="140"/>
      <c r="I29" s="166">
        <v>42583</v>
      </c>
      <c r="J29" s="165" t="s">
        <v>1757</v>
      </c>
      <c r="K29" s="164" t="s">
        <v>1756</v>
      </c>
      <c r="L29" s="190"/>
      <c r="M29" s="140"/>
      <c r="N29" s="166">
        <v>42614</v>
      </c>
      <c r="O29" s="165" t="s">
        <v>1755</v>
      </c>
      <c r="P29" s="164" t="s">
        <v>1754</v>
      </c>
      <c r="Q29" s="132"/>
    </row>
    <row r="30" spans="1:17" ht="18.75">
      <c r="A30" s="190"/>
      <c r="B30" s="193" t="s">
        <v>1021</v>
      </c>
      <c r="C30" s="140"/>
      <c r="D30" s="144">
        <v>42644</v>
      </c>
      <c r="E30" s="143" t="s">
        <v>1604</v>
      </c>
      <c r="F30" s="142"/>
      <c r="G30" s="190"/>
      <c r="H30" s="140"/>
      <c r="I30" s="144">
        <v>42705</v>
      </c>
      <c r="J30" s="143" t="s">
        <v>1603</v>
      </c>
      <c r="K30" s="142"/>
      <c r="L30" s="190"/>
      <c r="M30" s="140"/>
      <c r="N30" s="144">
        <v>42705</v>
      </c>
      <c r="O30" s="143" t="s">
        <v>1603</v>
      </c>
      <c r="P30" s="142"/>
      <c r="Q30" s="132"/>
    </row>
    <row r="31" spans="1:17" ht="60" customHeight="1">
      <c r="A31" s="190"/>
      <c r="B31" s="194"/>
      <c r="C31" s="136">
        <f>500/4/10</f>
        <v>12.5</v>
      </c>
      <c r="D31" s="139">
        <v>42675</v>
      </c>
      <c r="E31" s="141" t="s">
        <v>1729</v>
      </c>
      <c r="F31" s="137" t="s">
        <v>1753</v>
      </c>
      <c r="G31" s="190"/>
      <c r="H31" s="136">
        <v>4</v>
      </c>
      <c r="I31" s="139">
        <v>42795</v>
      </c>
      <c r="J31" s="141" t="s">
        <v>1752</v>
      </c>
      <c r="K31" s="137" t="s">
        <v>1751</v>
      </c>
      <c r="L31" s="190"/>
      <c r="M31" s="136">
        <v>6</v>
      </c>
      <c r="N31" s="139">
        <v>42826</v>
      </c>
      <c r="O31" s="141" t="s">
        <v>1701</v>
      </c>
      <c r="P31" s="137" t="s">
        <v>1700</v>
      </c>
      <c r="Q31" s="132"/>
    </row>
    <row r="32" spans="1:17" ht="18.75">
      <c r="A32" s="190"/>
      <c r="B32" s="194"/>
      <c r="C32" s="140"/>
      <c r="D32" s="158"/>
      <c r="E32" s="138"/>
      <c r="F32" s="137"/>
      <c r="G32" s="190"/>
      <c r="H32" s="140"/>
      <c r="I32" s="158"/>
      <c r="J32" s="138"/>
      <c r="K32" s="137"/>
      <c r="L32" s="190"/>
      <c r="M32" s="140"/>
      <c r="N32" s="158"/>
      <c r="O32" s="138"/>
      <c r="P32" s="137"/>
      <c r="Q32" s="132"/>
    </row>
    <row r="33" spans="1:17" ht="83.25" customHeight="1">
      <c r="A33" s="190"/>
      <c r="B33" s="194"/>
      <c r="C33" s="136">
        <v>10</v>
      </c>
      <c r="D33" s="139">
        <v>42887</v>
      </c>
      <c r="E33" s="141" t="s">
        <v>1750</v>
      </c>
      <c r="F33" s="137" t="s">
        <v>1725</v>
      </c>
      <c r="G33" s="190"/>
      <c r="H33" s="136">
        <v>17</v>
      </c>
      <c r="I33" s="139">
        <v>42856</v>
      </c>
      <c r="J33" s="141" t="s">
        <v>1749</v>
      </c>
      <c r="K33" s="137" t="s">
        <v>1748</v>
      </c>
      <c r="L33" s="190"/>
      <c r="M33" s="136">
        <v>6</v>
      </c>
      <c r="N33" s="139">
        <v>42948</v>
      </c>
      <c r="O33" s="141" t="s">
        <v>1747</v>
      </c>
      <c r="P33" s="137" t="s">
        <v>1746</v>
      </c>
      <c r="Q33" s="132"/>
    </row>
    <row r="34" spans="1:17" ht="18.75">
      <c r="A34" s="190"/>
      <c r="B34" s="194"/>
      <c r="C34" s="140"/>
      <c r="D34" s="158"/>
      <c r="E34" s="138"/>
      <c r="F34" s="137"/>
      <c r="G34" s="190"/>
      <c r="H34" s="140"/>
      <c r="I34" s="158"/>
      <c r="J34" s="138"/>
      <c r="K34" s="137"/>
      <c r="L34" s="190"/>
      <c r="M34" s="140"/>
      <c r="N34" s="158"/>
      <c r="O34" s="138"/>
      <c r="P34" s="137"/>
      <c r="Q34" s="132"/>
    </row>
    <row r="35" spans="1:17" ht="54.75" customHeight="1">
      <c r="A35" s="190"/>
      <c r="B35" s="195"/>
      <c r="C35" s="140"/>
      <c r="D35" s="145"/>
      <c r="E35" s="156"/>
      <c r="F35" s="133"/>
      <c r="G35" s="190"/>
      <c r="H35" s="136">
        <v>9</v>
      </c>
      <c r="I35" s="135">
        <v>42979</v>
      </c>
      <c r="J35" s="134" t="s">
        <v>1745</v>
      </c>
      <c r="K35" s="133" t="s">
        <v>1744</v>
      </c>
      <c r="L35" s="190"/>
      <c r="M35" s="140"/>
      <c r="N35" s="145"/>
      <c r="O35" s="156"/>
      <c r="P35" s="133"/>
      <c r="Q35" s="132"/>
    </row>
    <row r="36" spans="1:17" ht="18.75">
      <c r="A36" s="132"/>
      <c r="B36" s="132"/>
      <c r="C36" s="140"/>
      <c r="D36" s="132"/>
      <c r="E36" s="132"/>
      <c r="F36" s="132"/>
      <c r="G36" s="132"/>
      <c r="H36" s="140"/>
      <c r="I36" s="132"/>
      <c r="J36" s="132"/>
      <c r="K36" s="132"/>
      <c r="L36" s="132"/>
      <c r="M36" s="140"/>
      <c r="N36" s="132"/>
      <c r="O36" s="132"/>
      <c r="P36" s="132"/>
      <c r="Q36" s="132"/>
    </row>
    <row r="37" spans="1:17" ht="30">
      <c r="A37" s="190">
        <v>3</v>
      </c>
      <c r="B37" s="148"/>
      <c r="C37" s="140"/>
      <c r="D37" s="147">
        <v>41883</v>
      </c>
      <c r="E37" s="138" t="s">
        <v>1639</v>
      </c>
      <c r="F37" s="138" t="s">
        <v>1640</v>
      </c>
      <c r="G37" s="190">
        <v>3</v>
      </c>
      <c r="H37" s="140"/>
      <c r="I37" s="147">
        <v>41883</v>
      </c>
      <c r="J37" s="138" t="s">
        <v>1639</v>
      </c>
      <c r="K37" s="138" t="s">
        <v>1638</v>
      </c>
      <c r="L37" s="190">
        <v>3</v>
      </c>
      <c r="M37" s="140"/>
      <c r="N37" s="147">
        <v>41883</v>
      </c>
      <c r="O37" s="138" t="s">
        <v>1639</v>
      </c>
      <c r="P37" s="138" t="s">
        <v>1638</v>
      </c>
      <c r="Q37" s="132"/>
    </row>
    <row r="38" spans="1:17" ht="18.75">
      <c r="A38" s="190"/>
      <c r="B38" s="192" t="s">
        <v>1044</v>
      </c>
      <c r="C38" s="140"/>
      <c r="D38" s="176">
        <v>42036</v>
      </c>
      <c r="E38" s="175" t="s">
        <v>1694</v>
      </c>
      <c r="F38" s="174"/>
      <c r="G38" s="190"/>
      <c r="H38" s="140"/>
      <c r="I38" s="144">
        <v>41913</v>
      </c>
      <c r="J38" s="143" t="s">
        <v>1652</v>
      </c>
      <c r="K38" s="142"/>
      <c r="L38" s="190"/>
      <c r="M38" s="140"/>
      <c r="N38" s="144">
        <v>41913</v>
      </c>
      <c r="O38" s="143" t="s">
        <v>1652</v>
      </c>
      <c r="P38" s="142"/>
      <c r="Q38" s="132"/>
    </row>
    <row r="39" spans="1:17" ht="75">
      <c r="A39" s="190"/>
      <c r="B39" s="192"/>
      <c r="C39" s="140"/>
      <c r="D39" s="173">
        <v>42064</v>
      </c>
      <c r="E39" s="172" t="s">
        <v>1721</v>
      </c>
      <c r="F39" s="169" t="s">
        <v>1692</v>
      </c>
      <c r="G39" s="190"/>
      <c r="H39" s="140"/>
      <c r="I39" s="139">
        <v>41913</v>
      </c>
      <c r="J39" s="141" t="s">
        <v>1633</v>
      </c>
      <c r="K39" s="137" t="s">
        <v>1651</v>
      </c>
      <c r="L39" s="190"/>
      <c r="M39" s="140"/>
      <c r="N39" s="139">
        <v>41913</v>
      </c>
      <c r="O39" s="141" t="s">
        <v>1631</v>
      </c>
      <c r="P39" s="137" t="s">
        <v>1650</v>
      </c>
      <c r="Q39" s="132"/>
    </row>
    <row r="40" spans="1:17" ht="18.75">
      <c r="A40" s="190"/>
      <c r="B40" s="192"/>
      <c r="C40" s="140"/>
      <c r="D40" s="173"/>
      <c r="E40" s="170"/>
      <c r="F40" s="169"/>
      <c r="G40" s="190"/>
      <c r="H40" s="140"/>
      <c r="I40" s="139">
        <v>42125</v>
      </c>
      <c r="J40" s="138" t="s">
        <v>1649</v>
      </c>
      <c r="K40" s="137"/>
      <c r="L40" s="190"/>
      <c r="M40" s="140"/>
      <c r="N40" s="139">
        <v>42095</v>
      </c>
      <c r="O40" s="138" t="s">
        <v>1628</v>
      </c>
      <c r="P40" s="137"/>
      <c r="Q40" s="132"/>
    </row>
    <row r="41" spans="1:17" ht="75">
      <c r="A41" s="190"/>
      <c r="B41" s="192"/>
      <c r="C41" s="132"/>
      <c r="D41" s="166">
        <v>42248</v>
      </c>
      <c r="E41" s="165" t="s">
        <v>1691</v>
      </c>
      <c r="F41" s="164" t="s">
        <v>1690</v>
      </c>
      <c r="G41" s="190"/>
      <c r="H41" s="132"/>
      <c r="I41" s="135">
        <v>42186</v>
      </c>
      <c r="J41" s="134" t="s">
        <v>1743</v>
      </c>
      <c r="K41" s="133" t="s">
        <v>1742</v>
      </c>
      <c r="L41" s="190"/>
      <c r="M41" s="132"/>
      <c r="N41" s="135">
        <v>42186</v>
      </c>
      <c r="O41" s="134" t="s">
        <v>1741</v>
      </c>
      <c r="P41" s="133" t="s">
        <v>1740</v>
      </c>
      <c r="Q41" s="132"/>
    </row>
    <row r="42" spans="1:17" ht="18.75">
      <c r="A42" s="190"/>
      <c r="B42" s="192" t="s">
        <v>1034</v>
      </c>
      <c r="C42" s="140"/>
      <c r="D42" s="176">
        <v>42339</v>
      </c>
      <c r="E42" s="175" t="s">
        <v>1355</v>
      </c>
      <c r="F42" s="174"/>
      <c r="G42" s="190"/>
      <c r="H42" s="140"/>
      <c r="I42" s="176">
        <v>42309</v>
      </c>
      <c r="J42" s="175" t="s">
        <v>1032</v>
      </c>
      <c r="K42" s="174"/>
      <c r="L42" s="190"/>
      <c r="M42" s="140"/>
      <c r="N42" s="176">
        <v>42401</v>
      </c>
      <c r="O42" s="175" t="s">
        <v>1355</v>
      </c>
      <c r="P42" s="174"/>
      <c r="Q42" s="132"/>
    </row>
    <row r="43" spans="1:17" ht="75">
      <c r="A43" s="190"/>
      <c r="B43" s="192"/>
      <c r="C43" s="140"/>
      <c r="D43" s="173">
        <v>42491</v>
      </c>
      <c r="E43" s="172" t="s">
        <v>1716</v>
      </c>
      <c r="F43" s="169" t="s">
        <v>1739</v>
      </c>
      <c r="G43" s="190"/>
      <c r="H43" s="140"/>
      <c r="I43" s="173">
        <v>42430</v>
      </c>
      <c r="J43" s="172" t="s">
        <v>1738</v>
      </c>
      <c r="K43" s="169" t="s">
        <v>1737</v>
      </c>
      <c r="L43" s="190"/>
      <c r="M43" s="140"/>
      <c r="N43" s="173">
        <v>42491</v>
      </c>
      <c r="O43" s="172" t="s">
        <v>1736</v>
      </c>
      <c r="P43" s="169" t="s">
        <v>1735</v>
      </c>
      <c r="Q43" s="132"/>
    </row>
    <row r="44" spans="1:17" ht="18.75">
      <c r="A44" s="190"/>
      <c r="B44" s="192"/>
      <c r="C44" s="140"/>
      <c r="D44" s="171"/>
      <c r="E44" s="170"/>
      <c r="F44" s="169"/>
      <c r="G44" s="190"/>
      <c r="H44" s="140"/>
      <c r="I44" s="171"/>
      <c r="J44" s="170" t="s">
        <v>1614</v>
      </c>
      <c r="K44" s="169"/>
      <c r="L44" s="190"/>
      <c r="M44" s="140"/>
      <c r="N44" s="171"/>
      <c r="O44" s="170"/>
      <c r="P44" s="169"/>
      <c r="Q44" s="132"/>
    </row>
    <row r="45" spans="1:17" ht="75">
      <c r="A45" s="190"/>
      <c r="B45" s="192"/>
      <c r="C45" s="140"/>
      <c r="D45" s="166">
        <v>42614</v>
      </c>
      <c r="E45" s="165" t="s">
        <v>1710</v>
      </c>
      <c r="F45" s="164" t="s">
        <v>1734</v>
      </c>
      <c r="G45" s="190"/>
      <c r="H45" s="140"/>
      <c r="I45" s="166">
        <v>42583</v>
      </c>
      <c r="J45" s="165" t="s">
        <v>1733</v>
      </c>
      <c r="K45" s="164" t="s">
        <v>1732</v>
      </c>
      <c r="L45" s="190"/>
      <c r="M45" s="140"/>
      <c r="N45" s="166">
        <v>42614</v>
      </c>
      <c r="O45" s="165" t="s">
        <v>1731</v>
      </c>
      <c r="P45" s="164" t="s">
        <v>1730</v>
      </c>
      <c r="Q45" s="132"/>
    </row>
    <row r="46" spans="1:17" ht="64.5" customHeight="1">
      <c r="A46" s="190"/>
      <c r="B46" s="193" t="s">
        <v>1021</v>
      </c>
      <c r="C46" s="140"/>
      <c r="D46" s="144">
        <v>42644</v>
      </c>
      <c r="E46" s="143" t="s">
        <v>1604</v>
      </c>
      <c r="F46" s="142"/>
      <c r="G46" s="190"/>
      <c r="H46" s="140"/>
      <c r="I46" s="144">
        <v>42675</v>
      </c>
      <c r="J46" s="143" t="s">
        <v>1604</v>
      </c>
      <c r="K46" s="142"/>
      <c r="L46" s="190"/>
      <c r="M46" s="140"/>
      <c r="N46" s="144">
        <v>42705</v>
      </c>
      <c r="O46" s="143" t="s">
        <v>1603</v>
      </c>
      <c r="P46" s="142">
        <f>32+9*11</f>
        <v>131</v>
      </c>
      <c r="Q46" s="132"/>
    </row>
    <row r="47" spans="1:17" ht="60" customHeight="1">
      <c r="A47" s="190"/>
      <c r="B47" s="194"/>
      <c r="C47" s="136">
        <f>500/4/10</f>
        <v>12.5</v>
      </c>
      <c r="D47" s="139">
        <v>42675</v>
      </c>
      <c r="E47" s="141" t="s">
        <v>1729</v>
      </c>
      <c r="F47" s="137" t="s">
        <v>1704</v>
      </c>
      <c r="G47" s="190"/>
      <c r="H47" s="150">
        <v>4</v>
      </c>
      <c r="I47" s="139">
        <v>42795</v>
      </c>
      <c r="J47" s="141" t="s">
        <v>1728</v>
      </c>
      <c r="K47" s="137" t="s">
        <v>1727</v>
      </c>
      <c r="L47" s="190"/>
      <c r="M47" s="136">
        <v>6</v>
      </c>
      <c r="N47" s="139">
        <v>42826</v>
      </c>
      <c r="O47" s="141" t="s">
        <v>1701</v>
      </c>
      <c r="P47" s="137" t="s">
        <v>1700</v>
      </c>
      <c r="Q47" s="132"/>
    </row>
    <row r="48" spans="1:17" ht="18.75">
      <c r="A48" s="190"/>
      <c r="B48" s="194"/>
      <c r="C48" s="140"/>
      <c r="D48" s="158"/>
      <c r="E48" s="138"/>
      <c r="F48" s="137"/>
      <c r="G48" s="190"/>
      <c r="H48" s="140"/>
      <c r="I48" s="158"/>
      <c r="J48" s="138"/>
      <c r="K48" s="137"/>
      <c r="L48" s="190"/>
      <c r="M48" s="140"/>
      <c r="N48" s="158"/>
      <c r="O48" s="138"/>
      <c r="P48" s="137">
        <f>32+9*11</f>
        <v>131</v>
      </c>
      <c r="Q48" s="132"/>
    </row>
    <row r="49" spans="1:17" ht="45">
      <c r="A49" s="190"/>
      <c r="B49" s="194"/>
      <c r="C49" s="136">
        <v>10</v>
      </c>
      <c r="D49" s="139">
        <v>42887</v>
      </c>
      <c r="E49" s="141" t="s">
        <v>1726</v>
      </c>
      <c r="F49" s="137" t="s">
        <v>1725</v>
      </c>
      <c r="G49" s="190"/>
      <c r="H49" s="150">
        <v>7</v>
      </c>
      <c r="I49" s="139">
        <v>42856</v>
      </c>
      <c r="J49" s="141" t="s">
        <v>1698</v>
      </c>
      <c r="K49" s="137" t="s">
        <v>1697</v>
      </c>
      <c r="L49" s="190"/>
      <c r="M49" s="136">
        <v>7</v>
      </c>
      <c r="N49" s="139">
        <v>42948</v>
      </c>
      <c r="O49" s="141" t="s">
        <v>1724</v>
      </c>
      <c r="P49" s="137" t="s">
        <v>1723</v>
      </c>
      <c r="Q49" s="132"/>
    </row>
    <row r="50" spans="1:17" ht="18.75">
      <c r="A50" s="190"/>
      <c r="B50" s="194"/>
      <c r="C50" s="140"/>
      <c r="D50" s="158"/>
      <c r="E50" s="138"/>
      <c r="F50" s="137"/>
      <c r="G50" s="190"/>
      <c r="H50" s="140"/>
      <c r="I50" s="158"/>
      <c r="J50" s="138"/>
      <c r="K50" s="137"/>
      <c r="L50" s="190"/>
      <c r="M50" s="140"/>
      <c r="N50" s="158"/>
      <c r="O50" s="138"/>
      <c r="P50" s="137">
        <f>32+9*11</f>
        <v>131</v>
      </c>
      <c r="Q50" s="132"/>
    </row>
    <row r="51" spans="1:17" ht="71.25" customHeight="1">
      <c r="A51" s="190"/>
      <c r="B51" s="195"/>
      <c r="C51" s="140"/>
      <c r="D51" s="145"/>
      <c r="E51" s="156"/>
      <c r="F51" s="133"/>
      <c r="G51" s="190"/>
      <c r="H51" s="150">
        <v>0</v>
      </c>
      <c r="I51" s="135">
        <v>42979</v>
      </c>
      <c r="J51" s="134" t="s">
        <v>1676</v>
      </c>
      <c r="K51" s="133" t="s">
        <v>1695</v>
      </c>
      <c r="L51" s="190"/>
      <c r="M51" s="140"/>
      <c r="N51" s="145"/>
      <c r="O51" s="156"/>
      <c r="P51" s="133">
        <f>32+9*11</f>
        <v>131</v>
      </c>
      <c r="Q51" s="132"/>
    </row>
    <row r="52" spans="1:17" ht="18.75">
      <c r="A52" s="132"/>
      <c r="B52" s="132"/>
      <c r="C52" s="140"/>
      <c r="D52" s="132"/>
      <c r="E52" s="132"/>
      <c r="F52" s="132"/>
      <c r="G52" s="132"/>
      <c r="H52" s="140"/>
      <c r="I52" s="132"/>
      <c r="J52" s="132"/>
      <c r="K52" s="132"/>
      <c r="L52" s="132"/>
      <c r="M52" s="140"/>
      <c r="N52" s="132"/>
      <c r="O52" s="132"/>
      <c r="P52" s="132"/>
      <c r="Q52" s="132"/>
    </row>
    <row r="53" spans="1:17" ht="30">
      <c r="A53" s="190">
        <v>4</v>
      </c>
      <c r="B53" s="148"/>
      <c r="C53" s="140"/>
      <c r="D53" s="147">
        <v>41883</v>
      </c>
      <c r="E53" s="138" t="s">
        <v>1639</v>
      </c>
      <c r="F53" s="138" t="s">
        <v>1640</v>
      </c>
      <c r="G53" s="190">
        <v>4</v>
      </c>
      <c r="H53" s="140"/>
      <c r="I53" s="147">
        <v>41883</v>
      </c>
      <c r="J53" s="138" t="s">
        <v>1639</v>
      </c>
      <c r="K53" s="138" t="s">
        <v>1638</v>
      </c>
      <c r="L53" s="190">
        <v>4</v>
      </c>
      <c r="M53" s="140"/>
      <c r="N53" s="147">
        <v>41883</v>
      </c>
      <c r="O53" s="138" t="s">
        <v>1639</v>
      </c>
      <c r="P53" s="138" t="s">
        <v>1638</v>
      </c>
      <c r="Q53" s="132"/>
    </row>
    <row r="54" spans="1:17" ht="18.75">
      <c r="A54" s="190"/>
      <c r="B54" s="192" t="s">
        <v>1044</v>
      </c>
      <c r="C54" s="140"/>
      <c r="D54" s="176">
        <v>42036</v>
      </c>
      <c r="E54" s="175" t="s">
        <v>1694</v>
      </c>
      <c r="F54" s="174"/>
      <c r="G54" s="190"/>
      <c r="H54" s="140"/>
      <c r="I54" s="176">
        <v>41913</v>
      </c>
      <c r="J54" s="175" t="s">
        <v>1722</v>
      </c>
      <c r="K54" s="174"/>
      <c r="L54" s="190"/>
      <c r="M54" s="140"/>
      <c r="N54" s="176">
        <v>41913</v>
      </c>
      <c r="O54" s="175" t="s">
        <v>1636</v>
      </c>
      <c r="P54" s="174"/>
      <c r="Q54" s="132"/>
    </row>
    <row r="55" spans="1:17" ht="60">
      <c r="A55" s="190"/>
      <c r="B55" s="192"/>
      <c r="C55" s="140"/>
      <c r="D55" s="173">
        <v>42064</v>
      </c>
      <c r="E55" s="172" t="s">
        <v>1721</v>
      </c>
      <c r="F55" s="169" t="s">
        <v>1692</v>
      </c>
      <c r="G55" s="190"/>
      <c r="H55" s="140"/>
      <c r="I55" s="173">
        <v>41913</v>
      </c>
      <c r="J55" s="172" t="s">
        <v>1633</v>
      </c>
      <c r="K55" s="169" t="s">
        <v>1632</v>
      </c>
      <c r="L55" s="190"/>
      <c r="M55" s="140"/>
      <c r="N55" s="173">
        <v>41913</v>
      </c>
      <c r="O55" s="172" t="s">
        <v>1631</v>
      </c>
      <c r="P55" s="169" t="s">
        <v>1630</v>
      </c>
      <c r="Q55" s="132"/>
    </row>
    <row r="56" spans="1:17" ht="18.75">
      <c r="A56" s="190"/>
      <c r="B56" s="192"/>
      <c r="C56" s="140"/>
      <c r="D56" s="173"/>
      <c r="E56" s="170"/>
      <c r="F56" s="169"/>
      <c r="G56" s="190"/>
      <c r="H56" s="140"/>
      <c r="I56" s="173">
        <v>42125</v>
      </c>
      <c r="J56" s="170" t="s">
        <v>1628</v>
      </c>
      <c r="K56" s="169"/>
      <c r="L56" s="190"/>
      <c r="M56" s="140"/>
      <c r="N56" s="173">
        <v>42125</v>
      </c>
      <c r="O56" s="170" t="s">
        <v>1628</v>
      </c>
      <c r="P56" s="169"/>
      <c r="Q56" s="132"/>
    </row>
    <row r="57" spans="1:17" ht="60">
      <c r="A57" s="190"/>
      <c r="B57" s="192"/>
      <c r="C57" s="140"/>
      <c r="D57" s="166">
        <v>42248</v>
      </c>
      <c r="E57" s="165" t="s">
        <v>1364</v>
      </c>
      <c r="F57" s="164" t="s">
        <v>1720</v>
      </c>
      <c r="G57" s="190"/>
      <c r="H57" s="140"/>
      <c r="I57" s="166">
        <v>42217</v>
      </c>
      <c r="J57" s="165" t="s">
        <v>1691</v>
      </c>
      <c r="K57" s="164" t="s">
        <v>1719</v>
      </c>
      <c r="L57" s="190"/>
      <c r="M57" s="140"/>
      <c r="N57" s="166">
        <v>42186</v>
      </c>
      <c r="O57" s="165" t="s">
        <v>1718</v>
      </c>
      <c r="P57" s="164" t="s">
        <v>1717</v>
      </c>
      <c r="Q57" s="132"/>
    </row>
    <row r="58" spans="1:17" ht="18.75">
      <c r="A58" s="190"/>
      <c r="B58" s="192" t="s">
        <v>1034</v>
      </c>
      <c r="C58" s="140"/>
      <c r="D58" s="176">
        <v>42339</v>
      </c>
      <c r="E58" s="175" t="s">
        <v>1355</v>
      </c>
      <c r="F58" s="174"/>
      <c r="G58" s="190"/>
      <c r="H58" s="140"/>
      <c r="I58" s="176">
        <v>42339</v>
      </c>
      <c r="J58" s="175" t="s">
        <v>1355</v>
      </c>
      <c r="K58" s="174"/>
      <c r="L58" s="190"/>
      <c r="M58" s="140"/>
      <c r="N58" s="176">
        <v>42339</v>
      </c>
      <c r="O58" s="175" t="s">
        <v>1355</v>
      </c>
      <c r="P58" s="174"/>
      <c r="Q58" s="132"/>
    </row>
    <row r="59" spans="1:17" ht="75">
      <c r="A59" s="190"/>
      <c r="B59" s="192"/>
      <c r="C59" s="140"/>
      <c r="D59" s="173">
        <v>42491</v>
      </c>
      <c r="E59" s="172" t="s">
        <v>1716</v>
      </c>
      <c r="F59" s="169" t="s">
        <v>1715</v>
      </c>
      <c r="G59" s="190"/>
      <c r="H59" s="140"/>
      <c r="I59" s="173">
        <v>42461</v>
      </c>
      <c r="J59" s="172" t="s">
        <v>1714</v>
      </c>
      <c r="K59" s="169" t="s">
        <v>1713</v>
      </c>
      <c r="L59" s="190"/>
      <c r="M59" s="140"/>
      <c r="N59" s="173">
        <v>42491</v>
      </c>
      <c r="O59" s="172" t="s">
        <v>1712</v>
      </c>
      <c r="P59" s="169" t="s">
        <v>1711</v>
      </c>
      <c r="Q59" s="132"/>
    </row>
    <row r="60" spans="1:17">
      <c r="A60" s="190"/>
      <c r="B60" s="192"/>
      <c r="C60" s="132"/>
      <c r="D60" s="171"/>
      <c r="E60" s="170"/>
      <c r="F60" s="169"/>
      <c r="G60" s="190"/>
      <c r="H60" s="132"/>
      <c r="I60" s="171"/>
      <c r="J60" s="170" t="s">
        <v>1614</v>
      </c>
      <c r="K60" s="169"/>
      <c r="L60" s="190"/>
      <c r="M60" s="132"/>
      <c r="N60" s="171"/>
      <c r="O60" s="170" t="s">
        <v>1607</v>
      </c>
      <c r="P60" s="169"/>
      <c r="Q60" s="132"/>
    </row>
    <row r="61" spans="1:17" ht="75">
      <c r="A61" s="190"/>
      <c r="B61" s="192"/>
      <c r="C61" s="140"/>
      <c r="D61" s="166">
        <v>42614</v>
      </c>
      <c r="E61" s="165" t="s">
        <v>1710</v>
      </c>
      <c r="F61" s="164" t="s">
        <v>1709</v>
      </c>
      <c r="G61" s="190"/>
      <c r="H61" s="140"/>
      <c r="I61" s="166">
        <v>42583</v>
      </c>
      <c r="J61" s="165" t="s">
        <v>1708</v>
      </c>
      <c r="K61" s="164" t="s">
        <v>1707</v>
      </c>
      <c r="L61" s="190"/>
      <c r="M61" s="140"/>
      <c r="N61" s="166">
        <v>42614</v>
      </c>
      <c r="O61" s="165" t="s">
        <v>1680</v>
      </c>
      <c r="P61" s="164" t="s">
        <v>1706</v>
      </c>
      <c r="Q61" s="132"/>
    </row>
    <row r="62" spans="1:17" ht="45.75" customHeight="1">
      <c r="A62" s="190"/>
      <c r="B62" s="193" t="s">
        <v>1021</v>
      </c>
      <c r="C62" s="140"/>
      <c r="D62" s="144">
        <v>42644</v>
      </c>
      <c r="E62" s="143" t="s">
        <v>1604</v>
      </c>
      <c r="F62" s="142"/>
      <c r="G62" s="190"/>
      <c r="H62" s="140"/>
      <c r="I62" s="144">
        <v>42675</v>
      </c>
      <c r="J62" s="143" t="s">
        <v>1604</v>
      </c>
      <c r="K62" s="142"/>
      <c r="L62" s="190"/>
      <c r="M62" s="140"/>
      <c r="N62" s="144">
        <v>42705</v>
      </c>
      <c r="O62" s="143" t="s">
        <v>1603</v>
      </c>
      <c r="P62" s="142"/>
      <c r="Q62" s="132"/>
    </row>
    <row r="63" spans="1:17" ht="73.5" customHeight="1">
      <c r="A63" s="190"/>
      <c r="B63" s="194"/>
      <c r="C63" s="136">
        <f>500/4/10</f>
        <v>12.5</v>
      </c>
      <c r="D63" s="139">
        <v>42675</v>
      </c>
      <c r="E63" s="141" t="s">
        <v>1705</v>
      </c>
      <c r="F63" s="137" t="s">
        <v>1704</v>
      </c>
      <c r="G63" s="190"/>
      <c r="H63" s="136">
        <v>4</v>
      </c>
      <c r="I63" s="139">
        <v>42795</v>
      </c>
      <c r="J63" s="141" t="s">
        <v>1703</v>
      </c>
      <c r="K63" s="137" t="s">
        <v>1702</v>
      </c>
      <c r="L63" s="190"/>
      <c r="M63" s="150">
        <v>6</v>
      </c>
      <c r="N63" s="139">
        <v>42826</v>
      </c>
      <c r="O63" s="141" t="s">
        <v>1701</v>
      </c>
      <c r="P63" s="137" t="s">
        <v>1700</v>
      </c>
      <c r="Q63" s="132"/>
    </row>
    <row r="64" spans="1:17" ht="18.75">
      <c r="A64" s="190"/>
      <c r="B64" s="194"/>
      <c r="C64" s="140"/>
      <c r="D64" s="158"/>
      <c r="E64" s="138"/>
      <c r="F64" s="137"/>
      <c r="G64" s="190"/>
      <c r="H64" s="140"/>
      <c r="I64" s="158"/>
      <c r="J64" s="138"/>
      <c r="K64" s="137"/>
      <c r="L64" s="190"/>
      <c r="M64" s="140"/>
      <c r="N64" s="158"/>
      <c r="O64" s="138"/>
      <c r="P64" s="137"/>
      <c r="Q64" s="132"/>
    </row>
    <row r="65" spans="1:17" ht="83.25" customHeight="1">
      <c r="A65" s="190"/>
      <c r="B65" s="194"/>
      <c r="C65" s="136">
        <v>17</v>
      </c>
      <c r="D65" s="139">
        <v>42887</v>
      </c>
      <c r="E65" s="141" t="s">
        <v>670</v>
      </c>
      <c r="F65" s="137" t="s">
        <v>1699</v>
      </c>
      <c r="G65" s="190"/>
      <c r="H65" s="136">
        <v>7</v>
      </c>
      <c r="I65" s="139">
        <v>42856</v>
      </c>
      <c r="J65" s="141" t="s">
        <v>1698</v>
      </c>
      <c r="K65" s="137" t="s">
        <v>1697</v>
      </c>
      <c r="L65" s="190"/>
      <c r="M65" s="150">
        <v>15</v>
      </c>
      <c r="N65" s="139">
        <v>42948</v>
      </c>
      <c r="O65" s="141" t="s">
        <v>1696</v>
      </c>
      <c r="P65" s="137" t="s">
        <v>1654</v>
      </c>
      <c r="Q65" s="132"/>
    </row>
    <row r="66" spans="1:17" ht="18.75">
      <c r="A66" s="190"/>
      <c r="B66" s="194"/>
      <c r="C66" s="140"/>
      <c r="D66" s="158"/>
      <c r="E66" s="138"/>
      <c r="F66" s="137"/>
      <c r="G66" s="190"/>
      <c r="H66" s="140"/>
      <c r="I66" s="158"/>
      <c r="J66" s="138"/>
      <c r="K66" s="137"/>
      <c r="L66" s="190"/>
      <c r="M66" s="140"/>
      <c r="N66" s="158"/>
      <c r="O66" s="138"/>
      <c r="P66" s="137"/>
      <c r="Q66" s="132"/>
    </row>
    <row r="67" spans="1:17" ht="57" customHeight="1">
      <c r="A67" s="190"/>
      <c r="B67" s="195"/>
      <c r="C67" s="136">
        <v>2</v>
      </c>
      <c r="D67" s="135">
        <v>42979</v>
      </c>
      <c r="E67" s="134" t="s">
        <v>1676</v>
      </c>
      <c r="F67" s="133" t="s">
        <v>1641</v>
      </c>
      <c r="G67" s="190"/>
      <c r="H67" s="136">
        <v>0</v>
      </c>
      <c r="I67" s="135">
        <v>42979</v>
      </c>
      <c r="J67" s="134" t="s">
        <v>1676</v>
      </c>
      <c r="K67" s="133" t="s">
        <v>1695</v>
      </c>
      <c r="L67" s="190"/>
      <c r="M67" s="140"/>
      <c r="N67" s="145"/>
      <c r="O67" s="156"/>
      <c r="P67" s="133"/>
      <c r="Q67" s="132"/>
    </row>
    <row r="68" spans="1:17" ht="18.75">
      <c r="A68" s="132"/>
      <c r="B68" s="132"/>
      <c r="C68" s="140"/>
      <c r="D68" s="132"/>
      <c r="E68" s="132"/>
      <c r="F68" s="132"/>
      <c r="G68" s="132"/>
      <c r="H68" s="140"/>
      <c r="I68" s="132"/>
      <c r="J68" s="132"/>
      <c r="K68" s="132"/>
      <c r="L68" s="132"/>
      <c r="M68" s="140"/>
      <c r="N68" s="132"/>
      <c r="O68" s="132"/>
      <c r="P68" s="132"/>
      <c r="Q68" s="132"/>
    </row>
    <row r="69" spans="1:17" ht="30">
      <c r="A69" s="190">
        <v>5</v>
      </c>
      <c r="B69" s="148"/>
      <c r="C69" s="140"/>
      <c r="D69" s="147">
        <v>41883</v>
      </c>
      <c r="E69" s="138" t="s">
        <v>1639</v>
      </c>
      <c r="F69" s="138" t="s">
        <v>1640</v>
      </c>
      <c r="G69" s="190">
        <v>5</v>
      </c>
      <c r="H69" s="140"/>
      <c r="I69" s="147">
        <v>41883</v>
      </c>
      <c r="J69" s="138" t="s">
        <v>1639</v>
      </c>
      <c r="K69" s="138" t="s">
        <v>1638</v>
      </c>
      <c r="L69" s="190">
        <v>5</v>
      </c>
      <c r="M69" s="140"/>
      <c r="N69" s="147">
        <v>41883</v>
      </c>
      <c r="O69" s="138" t="s">
        <v>1639</v>
      </c>
      <c r="P69" s="138" t="s">
        <v>1638</v>
      </c>
      <c r="Q69" s="132"/>
    </row>
    <row r="70" spans="1:17" ht="18.75">
      <c r="A70" s="190"/>
      <c r="B70" s="192" t="s">
        <v>1044</v>
      </c>
      <c r="C70" s="140"/>
      <c r="D70" s="176">
        <v>42036</v>
      </c>
      <c r="E70" s="175" t="s">
        <v>1694</v>
      </c>
      <c r="F70" s="174"/>
      <c r="G70" s="190"/>
      <c r="H70" s="140"/>
      <c r="I70" s="176">
        <v>41913</v>
      </c>
      <c r="J70" s="175" t="s">
        <v>1652</v>
      </c>
      <c r="K70" s="174"/>
      <c r="L70" s="190"/>
      <c r="M70" s="140"/>
      <c r="N70" s="176">
        <v>41913</v>
      </c>
      <c r="O70" s="175" t="s">
        <v>1652</v>
      </c>
      <c r="P70" s="174"/>
      <c r="Q70" s="132"/>
    </row>
    <row r="71" spans="1:17" ht="75">
      <c r="A71" s="190"/>
      <c r="B71" s="192"/>
      <c r="C71" s="140"/>
      <c r="D71" s="173">
        <v>42064</v>
      </c>
      <c r="E71" s="172" t="s">
        <v>1693</v>
      </c>
      <c r="F71" s="169" t="s">
        <v>1692</v>
      </c>
      <c r="G71" s="190"/>
      <c r="H71" s="140"/>
      <c r="I71" s="173">
        <v>41913</v>
      </c>
      <c r="J71" s="172" t="s">
        <v>1633</v>
      </c>
      <c r="K71" s="169" t="s">
        <v>1651</v>
      </c>
      <c r="L71" s="190"/>
      <c r="M71" s="140"/>
      <c r="N71" s="173">
        <v>41913</v>
      </c>
      <c r="O71" s="172" t="s">
        <v>1631</v>
      </c>
      <c r="P71" s="169" t="s">
        <v>1650</v>
      </c>
      <c r="Q71" s="132"/>
    </row>
    <row r="72" spans="1:17" ht="18.75">
      <c r="A72" s="190"/>
      <c r="B72" s="192"/>
      <c r="C72" s="140"/>
      <c r="D72" s="173"/>
      <c r="E72" s="170"/>
      <c r="F72" s="169"/>
      <c r="G72" s="190"/>
      <c r="H72" s="140"/>
      <c r="I72" s="173">
        <v>42125</v>
      </c>
      <c r="J72" s="170" t="s">
        <v>1649</v>
      </c>
      <c r="K72" s="169"/>
      <c r="L72" s="190"/>
      <c r="M72" s="140"/>
      <c r="N72" s="173">
        <v>42095</v>
      </c>
      <c r="O72" s="170" t="s">
        <v>1628</v>
      </c>
      <c r="P72" s="169"/>
      <c r="Q72" s="132"/>
    </row>
    <row r="73" spans="1:17" ht="60">
      <c r="A73" s="190"/>
      <c r="B73" s="192"/>
      <c r="C73" s="140"/>
      <c r="D73" s="166">
        <v>42248</v>
      </c>
      <c r="E73" s="165" t="s">
        <v>1691</v>
      </c>
      <c r="F73" s="164" t="s">
        <v>1690</v>
      </c>
      <c r="G73" s="190"/>
      <c r="H73" s="140"/>
      <c r="I73" s="166">
        <v>42248</v>
      </c>
      <c r="J73" s="165" t="s">
        <v>1689</v>
      </c>
      <c r="K73" s="164" t="s">
        <v>1688</v>
      </c>
      <c r="L73" s="190"/>
      <c r="M73" s="140"/>
      <c r="N73" s="166">
        <v>42217</v>
      </c>
      <c r="O73" s="165" t="s">
        <v>1311</v>
      </c>
      <c r="P73" s="164" t="s">
        <v>1671</v>
      </c>
      <c r="Q73" s="132"/>
    </row>
    <row r="74" spans="1:17" ht="18.75" customHeight="1">
      <c r="A74" s="190"/>
      <c r="B74" s="192" t="s">
        <v>1034</v>
      </c>
      <c r="C74" s="140"/>
      <c r="D74" s="176">
        <v>42339</v>
      </c>
      <c r="E74" s="175" t="s">
        <v>1355</v>
      </c>
      <c r="F74" s="174"/>
      <c r="G74" s="190"/>
      <c r="H74" s="140"/>
      <c r="I74" s="176">
        <v>42309</v>
      </c>
      <c r="J74" s="175" t="s">
        <v>1032</v>
      </c>
      <c r="K74" s="174"/>
      <c r="L74" s="190"/>
      <c r="M74" s="140"/>
      <c r="N74" s="176">
        <v>42370</v>
      </c>
      <c r="O74" s="175" t="s">
        <v>1355</v>
      </c>
      <c r="P74" s="174"/>
      <c r="Q74" s="132"/>
    </row>
    <row r="75" spans="1:17" ht="90">
      <c r="A75" s="190"/>
      <c r="B75" s="192"/>
      <c r="C75" s="140"/>
      <c r="D75" s="173">
        <v>42461</v>
      </c>
      <c r="E75" s="172" t="s">
        <v>1670</v>
      </c>
      <c r="F75" s="169" t="s">
        <v>1669</v>
      </c>
      <c r="G75" s="190"/>
      <c r="H75" s="140"/>
      <c r="I75" s="173">
        <v>42461</v>
      </c>
      <c r="J75" s="172" t="s">
        <v>1687</v>
      </c>
      <c r="K75" s="169" t="s">
        <v>1686</v>
      </c>
      <c r="L75" s="190"/>
      <c r="M75" s="140"/>
      <c r="N75" s="173">
        <v>42491</v>
      </c>
      <c r="O75" s="172" t="s">
        <v>1685</v>
      </c>
      <c r="P75" s="169" t="s">
        <v>1684</v>
      </c>
      <c r="Q75" s="132"/>
    </row>
    <row r="76" spans="1:17" ht="18.75">
      <c r="A76" s="190"/>
      <c r="B76" s="192"/>
      <c r="C76" s="140"/>
      <c r="D76" s="171"/>
      <c r="E76" s="170"/>
      <c r="F76" s="169"/>
      <c r="G76" s="190"/>
      <c r="H76" s="140"/>
      <c r="I76" s="171"/>
      <c r="J76" s="170" t="s">
        <v>1614</v>
      </c>
      <c r="K76" s="169"/>
      <c r="L76" s="190"/>
      <c r="M76" s="140"/>
      <c r="N76" s="171"/>
      <c r="O76" s="170"/>
      <c r="P76" s="169"/>
      <c r="Q76" s="132"/>
    </row>
    <row r="77" spans="1:17" ht="60">
      <c r="A77" s="190"/>
      <c r="B77" s="192"/>
      <c r="C77" s="140"/>
      <c r="D77" s="173">
        <v>42583</v>
      </c>
      <c r="E77" s="172" t="s">
        <v>1665</v>
      </c>
      <c r="F77" s="169" t="s">
        <v>1683</v>
      </c>
      <c r="G77" s="190"/>
      <c r="H77" s="140"/>
      <c r="I77" s="173">
        <v>42583</v>
      </c>
      <c r="J77" s="172" t="s">
        <v>1682</v>
      </c>
      <c r="K77" s="169" t="s">
        <v>1681</v>
      </c>
      <c r="L77" s="190"/>
      <c r="M77" s="140"/>
      <c r="N77" s="173">
        <v>42522</v>
      </c>
      <c r="O77" s="172" t="s">
        <v>1618</v>
      </c>
      <c r="P77" s="169" t="s">
        <v>1666</v>
      </c>
      <c r="Q77" s="132"/>
    </row>
    <row r="78" spans="1:17" ht="18.75">
      <c r="A78" s="190"/>
      <c r="B78" s="192"/>
      <c r="C78" s="140"/>
      <c r="D78" s="173"/>
      <c r="E78" s="170"/>
      <c r="F78" s="169"/>
      <c r="G78" s="190"/>
      <c r="H78" s="140"/>
      <c r="I78" s="173">
        <v>42705</v>
      </c>
      <c r="J78" s="170"/>
      <c r="K78" s="169"/>
      <c r="L78" s="190"/>
      <c r="M78" s="140"/>
      <c r="N78" s="171"/>
      <c r="O78" s="170" t="s">
        <v>1607</v>
      </c>
      <c r="P78" s="169"/>
      <c r="Q78" s="132"/>
    </row>
    <row r="79" spans="1:17" ht="62.25" customHeight="1">
      <c r="A79" s="190"/>
      <c r="B79" s="192"/>
      <c r="C79" s="140"/>
      <c r="D79" s="166"/>
      <c r="E79" s="167"/>
      <c r="F79" s="164"/>
      <c r="G79" s="190"/>
      <c r="H79" s="140"/>
      <c r="I79" s="168"/>
      <c r="J79" s="167"/>
      <c r="K79" s="164"/>
      <c r="L79" s="190"/>
      <c r="M79" s="140"/>
      <c r="N79" s="166">
        <v>42614</v>
      </c>
      <c r="O79" s="165" t="s">
        <v>1680</v>
      </c>
      <c r="P79" s="164" t="s">
        <v>1679</v>
      </c>
      <c r="Q79" s="132"/>
    </row>
    <row r="80" spans="1:17">
      <c r="A80" s="190"/>
      <c r="B80" s="193" t="s">
        <v>1021</v>
      </c>
      <c r="C80" s="132"/>
      <c r="D80" s="144">
        <v>42644</v>
      </c>
      <c r="E80" s="143" t="s">
        <v>1604</v>
      </c>
      <c r="F80" s="142"/>
      <c r="G80" s="190"/>
      <c r="H80" s="132"/>
      <c r="I80" s="144">
        <v>42705</v>
      </c>
      <c r="J80" s="143" t="s">
        <v>1659</v>
      </c>
      <c r="K80" s="142"/>
      <c r="L80" s="190"/>
      <c r="M80" s="132"/>
      <c r="N80" s="144">
        <v>42705</v>
      </c>
      <c r="O80" s="143" t="s">
        <v>1603</v>
      </c>
      <c r="P80" s="142"/>
      <c r="Q80" s="132"/>
    </row>
    <row r="81" spans="1:17" ht="75.75" customHeight="1">
      <c r="A81" s="190"/>
      <c r="B81" s="194"/>
      <c r="C81" s="136">
        <v>11</v>
      </c>
      <c r="D81" s="139">
        <v>42675</v>
      </c>
      <c r="E81" s="141" t="s">
        <v>1602</v>
      </c>
      <c r="F81" s="137" t="s">
        <v>1601</v>
      </c>
      <c r="G81" s="190"/>
      <c r="H81" s="136">
        <f>146/20+1</f>
        <v>8.3000000000000007</v>
      </c>
      <c r="I81" s="139">
        <v>42767</v>
      </c>
      <c r="J81" s="141" t="s">
        <v>1658</v>
      </c>
      <c r="K81" s="137" t="s">
        <v>1657</v>
      </c>
      <c r="L81" s="190"/>
      <c r="M81" s="136">
        <v>7</v>
      </c>
      <c r="N81" s="139">
        <v>42826</v>
      </c>
      <c r="O81" s="141" t="s">
        <v>1598</v>
      </c>
      <c r="P81" s="137" t="s">
        <v>1597</v>
      </c>
      <c r="Q81" s="132"/>
    </row>
    <row r="82" spans="1:17" ht="18.75">
      <c r="A82" s="190"/>
      <c r="B82" s="194"/>
      <c r="C82" s="140"/>
      <c r="D82" s="158"/>
      <c r="E82" s="138"/>
      <c r="F82" s="137"/>
      <c r="G82" s="190"/>
      <c r="H82" s="140"/>
      <c r="I82" s="158"/>
      <c r="J82" s="138"/>
      <c r="K82" s="137"/>
      <c r="L82" s="190"/>
      <c r="M82" s="140"/>
      <c r="N82" s="158"/>
      <c r="O82" s="138"/>
      <c r="P82" s="137"/>
      <c r="Q82" s="132"/>
    </row>
    <row r="83" spans="1:17" ht="59.25" customHeight="1">
      <c r="A83" s="190"/>
      <c r="B83" s="194"/>
      <c r="C83" s="136">
        <v>7</v>
      </c>
      <c r="D83" s="139">
        <v>42917</v>
      </c>
      <c r="E83" s="141" t="s">
        <v>683</v>
      </c>
      <c r="F83" s="137" t="s">
        <v>1678</v>
      </c>
      <c r="G83" s="190"/>
      <c r="H83" s="136">
        <v>6</v>
      </c>
      <c r="I83" s="139">
        <v>42917</v>
      </c>
      <c r="J83" s="141" t="s">
        <v>1344</v>
      </c>
      <c r="K83" s="137" t="s">
        <v>1595</v>
      </c>
      <c r="L83" s="190"/>
      <c r="M83" s="136">
        <v>20</v>
      </c>
      <c r="N83" s="139">
        <v>42948</v>
      </c>
      <c r="O83" s="141" t="s">
        <v>1677</v>
      </c>
      <c r="P83" s="137" t="s">
        <v>1654</v>
      </c>
      <c r="Q83" s="132"/>
    </row>
    <row r="84" spans="1:17" ht="18.75">
      <c r="A84" s="190"/>
      <c r="B84" s="194"/>
      <c r="C84" s="140"/>
      <c r="D84" s="158"/>
      <c r="E84" s="138"/>
      <c r="F84" s="137"/>
      <c r="G84" s="190"/>
      <c r="H84" s="140"/>
      <c r="I84" s="158"/>
      <c r="J84" s="138"/>
      <c r="K84" s="137"/>
      <c r="L84" s="190"/>
      <c r="M84" s="140"/>
      <c r="N84" s="158"/>
      <c r="O84" s="138"/>
      <c r="P84" s="137"/>
      <c r="Q84" s="132"/>
    </row>
    <row r="85" spans="1:17" ht="57" customHeight="1">
      <c r="A85" s="190"/>
      <c r="B85" s="195"/>
      <c r="C85" s="136">
        <v>2</v>
      </c>
      <c r="D85" s="135">
        <v>42979</v>
      </c>
      <c r="E85" s="134" t="s">
        <v>1676</v>
      </c>
      <c r="F85" s="133" t="s">
        <v>1641</v>
      </c>
      <c r="G85" s="190"/>
      <c r="H85" s="140"/>
      <c r="I85" s="145"/>
      <c r="J85" s="156"/>
      <c r="K85" s="133"/>
      <c r="L85" s="190"/>
      <c r="M85" s="140"/>
      <c r="N85" s="145"/>
      <c r="O85" s="156"/>
      <c r="P85" s="133"/>
      <c r="Q85" s="132"/>
    </row>
    <row r="86" spans="1:17" ht="18.75">
      <c r="A86" s="132"/>
      <c r="B86" s="132"/>
      <c r="C86" s="140"/>
      <c r="D86" s="132"/>
      <c r="E86" s="132"/>
      <c r="F86" s="132"/>
      <c r="G86" s="132"/>
      <c r="H86" s="140"/>
      <c r="I86" s="132"/>
      <c r="J86" s="132"/>
      <c r="K86" s="132"/>
      <c r="L86" s="132"/>
      <c r="M86" s="140"/>
      <c r="N86" s="132"/>
      <c r="O86" s="132"/>
      <c r="P86" s="132"/>
      <c r="Q86" s="132"/>
    </row>
    <row r="87" spans="1:17" ht="30">
      <c r="A87" s="190">
        <v>6</v>
      </c>
      <c r="B87" s="148"/>
      <c r="C87" s="140"/>
      <c r="D87" s="147">
        <v>41883</v>
      </c>
      <c r="E87" s="138" t="s">
        <v>1639</v>
      </c>
      <c r="F87" s="138" t="s">
        <v>1640</v>
      </c>
      <c r="G87" s="190">
        <v>6</v>
      </c>
      <c r="H87" s="140"/>
      <c r="I87" s="147">
        <v>41883</v>
      </c>
      <c r="J87" s="138" t="s">
        <v>1639</v>
      </c>
      <c r="K87" s="138" t="s">
        <v>1638</v>
      </c>
      <c r="L87" s="190">
        <v>6</v>
      </c>
      <c r="M87" s="140"/>
      <c r="N87" s="147">
        <v>41883</v>
      </c>
      <c r="O87" s="138" t="s">
        <v>1639</v>
      </c>
      <c r="P87" s="138" t="s">
        <v>1638</v>
      </c>
      <c r="Q87" s="132"/>
    </row>
    <row r="88" spans="1:17" ht="18.75">
      <c r="A88" s="190"/>
      <c r="B88" s="192" t="s">
        <v>1044</v>
      </c>
      <c r="C88" s="140"/>
      <c r="D88" s="176"/>
      <c r="E88" s="175" t="s">
        <v>1675</v>
      </c>
      <c r="F88" s="174"/>
      <c r="G88" s="190"/>
      <c r="H88" s="140"/>
      <c r="I88" s="176">
        <v>41913</v>
      </c>
      <c r="J88" s="175" t="s">
        <v>1636</v>
      </c>
      <c r="K88" s="174"/>
      <c r="L88" s="190"/>
      <c r="M88" s="140"/>
      <c r="N88" s="176">
        <v>41913</v>
      </c>
      <c r="O88" s="175" t="s">
        <v>1636</v>
      </c>
      <c r="P88" s="174"/>
      <c r="Q88" s="132"/>
    </row>
    <row r="89" spans="1:17" ht="120">
      <c r="A89" s="190"/>
      <c r="B89" s="192"/>
      <c r="C89" s="140"/>
      <c r="D89" s="173">
        <v>42278</v>
      </c>
      <c r="E89" s="172" t="s">
        <v>1635</v>
      </c>
      <c r="F89" s="177" t="s">
        <v>1634</v>
      </c>
      <c r="G89" s="190"/>
      <c r="H89" s="140"/>
      <c r="I89" s="173">
        <v>41913</v>
      </c>
      <c r="J89" s="172" t="s">
        <v>1633</v>
      </c>
      <c r="K89" s="169" t="s">
        <v>1632</v>
      </c>
      <c r="L89" s="190"/>
      <c r="M89" s="140"/>
      <c r="N89" s="173">
        <v>41913</v>
      </c>
      <c r="O89" s="172" t="s">
        <v>1631</v>
      </c>
      <c r="P89" s="169" t="s">
        <v>1630</v>
      </c>
      <c r="Q89" s="132"/>
    </row>
    <row r="90" spans="1:17" ht="18.75">
      <c r="A90" s="190"/>
      <c r="B90" s="192"/>
      <c r="C90" s="140"/>
      <c r="D90" s="173">
        <v>42156</v>
      </c>
      <c r="E90" s="170" t="s">
        <v>1629</v>
      </c>
      <c r="F90" s="169"/>
      <c r="G90" s="190"/>
      <c r="H90" s="140"/>
      <c r="I90" s="173"/>
      <c r="J90" s="170"/>
      <c r="K90" s="169"/>
      <c r="L90" s="190"/>
      <c r="M90" s="140"/>
      <c r="N90" s="173">
        <v>42156</v>
      </c>
      <c r="O90" s="170" t="s">
        <v>1628</v>
      </c>
      <c r="P90" s="169"/>
      <c r="Q90" s="132"/>
    </row>
    <row r="91" spans="1:17" ht="75">
      <c r="A91" s="190"/>
      <c r="B91" s="192"/>
      <c r="C91" s="140"/>
      <c r="D91" s="166">
        <v>42248</v>
      </c>
      <c r="E91" s="165" t="s">
        <v>1303</v>
      </c>
      <c r="F91" s="164" t="s">
        <v>1674</v>
      </c>
      <c r="G91" s="190"/>
      <c r="H91" s="140"/>
      <c r="I91" s="166">
        <v>42217</v>
      </c>
      <c r="J91" s="165" t="s">
        <v>1673</v>
      </c>
      <c r="K91" s="164" t="s">
        <v>1672</v>
      </c>
      <c r="L91" s="190"/>
      <c r="M91" s="140"/>
      <c r="N91" s="166">
        <v>42217</v>
      </c>
      <c r="O91" s="165" t="s">
        <v>1311</v>
      </c>
      <c r="P91" s="164" t="s">
        <v>1671</v>
      </c>
      <c r="Q91" s="132"/>
    </row>
    <row r="92" spans="1:17" ht="18.75">
      <c r="A92" s="190"/>
      <c r="B92" s="192" t="s">
        <v>1034</v>
      </c>
      <c r="C92" s="140"/>
      <c r="D92" s="176">
        <v>42339</v>
      </c>
      <c r="E92" s="175" t="s">
        <v>1355</v>
      </c>
      <c r="F92" s="174"/>
      <c r="G92" s="190"/>
      <c r="H92" s="140"/>
      <c r="I92" s="176">
        <v>42339</v>
      </c>
      <c r="J92" s="175" t="s">
        <v>1355</v>
      </c>
      <c r="K92" s="174"/>
      <c r="L92" s="190"/>
      <c r="M92" s="140"/>
      <c r="N92" s="176">
        <v>42339</v>
      </c>
      <c r="O92" s="175" t="s">
        <v>1355</v>
      </c>
      <c r="P92" s="174"/>
      <c r="Q92" s="132"/>
    </row>
    <row r="93" spans="1:17" ht="90">
      <c r="A93" s="190"/>
      <c r="B93" s="192"/>
      <c r="C93" s="140"/>
      <c r="D93" s="173">
        <v>42461</v>
      </c>
      <c r="E93" s="172" t="s">
        <v>1670</v>
      </c>
      <c r="F93" s="169" t="s">
        <v>1669</v>
      </c>
      <c r="G93" s="190"/>
      <c r="H93" s="140"/>
      <c r="I93" s="173">
        <v>42461</v>
      </c>
      <c r="J93" s="172" t="s">
        <v>1668</v>
      </c>
      <c r="K93" s="169" t="s">
        <v>1667</v>
      </c>
      <c r="L93" s="190"/>
      <c r="M93" s="140"/>
      <c r="N93" s="173">
        <v>42522</v>
      </c>
      <c r="O93" s="172" t="s">
        <v>1618</v>
      </c>
      <c r="P93" s="169" t="s">
        <v>1666</v>
      </c>
      <c r="Q93" s="132"/>
    </row>
    <row r="94" spans="1:17" ht="18.75">
      <c r="A94" s="190"/>
      <c r="B94" s="192"/>
      <c r="C94" s="140"/>
      <c r="D94" s="171"/>
      <c r="E94" s="170"/>
      <c r="F94" s="169"/>
      <c r="G94" s="190"/>
      <c r="H94" s="140"/>
      <c r="I94" s="173">
        <v>42583</v>
      </c>
      <c r="J94" s="170" t="s">
        <v>1614</v>
      </c>
      <c r="K94" s="169"/>
      <c r="L94" s="190"/>
      <c r="M94" s="140"/>
      <c r="N94" s="173"/>
      <c r="O94" s="170" t="s">
        <v>1607</v>
      </c>
      <c r="P94" s="169"/>
      <c r="Q94" s="132"/>
    </row>
    <row r="95" spans="1:17" ht="60">
      <c r="A95" s="190"/>
      <c r="B95" s="192"/>
      <c r="C95" s="140"/>
      <c r="D95" s="166">
        <v>42583</v>
      </c>
      <c r="E95" s="165" t="s">
        <v>1665</v>
      </c>
      <c r="F95" s="164" t="s">
        <v>1664</v>
      </c>
      <c r="G95" s="190"/>
      <c r="H95" s="140"/>
      <c r="I95" s="166">
        <v>42583</v>
      </c>
      <c r="J95" s="165" t="s">
        <v>1663</v>
      </c>
      <c r="K95" s="164" t="s">
        <v>1662</v>
      </c>
      <c r="L95" s="190"/>
      <c r="M95" s="140"/>
      <c r="N95" s="166">
        <v>42614</v>
      </c>
      <c r="O95" s="165" t="s">
        <v>1661</v>
      </c>
      <c r="P95" s="164" t="s">
        <v>1660</v>
      </c>
      <c r="Q95" s="132"/>
    </row>
    <row r="96" spans="1:17">
      <c r="A96" s="190"/>
      <c r="B96" s="193" t="s">
        <v>1021</v>
      </c>
      <c r="C96" s="132"/>
      <c r="D96" s="144">
        <v>42644</v>
      </c>
      <c r="E96" s="143" t="s">
        <v>1604</v>
      </c>
      <c r="F96" s="142"/>
      <c r="G96" s="190"/>
      <c r="H96" s="132"/>
      <c r="I96" s="144">
        <v>42705</v>
      </c>
      <c r="J96" s="143" t="s">
        <v>1659</v>
      </c>
      <c r="K96" s="142"/>
      <c r="L96" s="190"/>
      <c r="M96" s="132"/>
      <c r="N96" s="144">
        <v>42705</v>
      </c>
      <c r="O96" s="143" t="s">
        <v>1603</v>
      </c>
      <c r="P96" s="142"/>
      <c r="Q96" s="132"/>
    </row>
    <row r="97" spans="1:17" ht="61.5" customHeight="1">
      <c r="A97" s="190"/>
      <c r="B97" s="194"/>
      <c r="C97" s="136">
        <v>11</v>
      </c>
      <c r="D97" s="139">
        <v>42675</v>
      </c>
      <c r="E97" s="141" t="s">
        <v>1602</v>
      </c>
      <c r="F97" s="137" t="s">
        <v>1601</v>
      </c>
      <c r="G97" s="190"/>
      <c r="H97" s="136">
        <f>146/20+1</f>
        <v>8.3000000000000007</v>
      </c>
      <c r="I97" s="139">
        <v>42767</v>
      </c>
      <c r="J97" s="141" t="s">
        <v>1658</v>
      </c>
      <c r="K97" s="137" t="s">
        <v>1657</v>
      </c>
      <c r="L97" s="190"/>
      <c r="M97" s="136">
        <v>7</v>
      </c>
      <c r="N97" s="139">
        <v>42826</v>
      </c>
      <c r="O97" s="141" t="s">
        <v>1598</v>
      </c>
      <c r="P97" s="137" t="s">
        <v>1597</v>
      </c>
      <c r="Q97" s="132"/>
    </row>
    <row r="98" spans="1:17" ht="18.75">
      <c r="A98" s="190"/>
      <c r="B98" s="194"/>
      <c r="C98" s="140"/>
      <c r="D98" s="158"/>
      <c r="E98" s="138"/>
      <c r="F98" s="137"/>
      <c r="G98" s="190"/>
      <c r="H98" s="140"/>
      <c r="I98" s="158"/>
      <c r="J98" s="138"/>
      <c r="K98" s="137"/>
      <c r="L98" s="190"/>
      <c r="M98" s="140"/>
      <c r="N98" s="158"/>
      <c r="O98" s="138"/>
      <c r="P98" s="137"/>
      <c r="Q98" s="132"/>
    </row>
    <row r="99" spans="1:17" ht="68.25" customHeight="1">
      <c r="A99" s="190"/>
      <c r="B99" s="194"/>
      <c r="C99" s="136">
        <v>4</v>
      </c>
      <c r="D99" s="139">
        <v>42887</v>
      </c>
      <c r="E99" s="141" t="s">
        <v>1656</v>
      </c>
      <c r="F99" s="137" t="s">
        <v>1642</v>
      </c>
      <c r="G99" s="190"/>
      <c r="H99" s="136">
        <v>6</v>
      </c>
      <c r="I99" s="139">
        <v>42917</v>
      </c>
      <c r="J99" s="141" t="s">
        <v>1344</v>
      </c>
      <c r="K99" s="137" t="s">
        <v>1595</v>
      </c>
      <c r="L99" s="190"/>
      <c r="M99" s="136">
        <v>20</v>
      </c>
      <c r="N99" s="139">
        <v>42948</v>
      </c>
      <c r="O99" s="141" t="s">
        <v>1655</v>
      </c>
      <c r="P99" s="137" t="s">
        <v>1654</v>
      </c>
      <c r="Q99" s="132"/>
    </row>
    <row r="100" spans="1:17" ht="18.75">
      <c r="A100" s="190"/>
      <c r="B100" s="194"/>
      <c r="C100" s="140"/>
      <c r="D100" s="158"/>
      <c r="E100" s="138"/>
      <c r="F100" s="137"/>
      <c r="G100" s="190"/>
      <c r="H100" s="140"/>
      <c r="I100" s="158"/>
      <c r="J100" s="138"/>
      <c r="K100" s="137"/>
      <c r="L100" s="190"/>
      <c r="M100" s="140"/>
      <c r="N100" s="158"/>
      <c r="O100" s="138"/>
      <c r="P100" s="137"/>
      <c r="Q100" s="132"/>
    </row>
    <row r="101" spans="1:17" ht="65.25" customHeight="1">
      <c r="A101" s="190"/>
      <c r="B101" s="195"/>
      <c r="C101" s="136">
        <v>10</v>
      </c>
      <c r="D101" s="135">
        <v>42979</v>
      </c>
      <c r="E101" s="134" t="s">
        <v>1198</v>
      </c>
      <c r="F101" s="133" t="s">
        <v>1653</v>
      </c>
      <c r="G101" s="190"/>
      <c r="H101" s="140"/>
      <c r="I101" s="145"/>
      <c r="J101" s="156"/>
      <c r="K101" s="133"/>
      <c r="L101" s="190"/>
      <c r="M101" s="140"/>
      <c r="N101" s="145"/>
      <c r="O101" s="156"/>
      <c r="P101" s="133"/>
      <c r="Q101" s="132"/>
    </row>
    <row r="102" spans="1:17" ht="18.75">
      <c r="A102" s="132"/>
      <c r="B102" s="132"/>
      <c r="C102" s="140"/>
      <c r="D102" s="132"/>
      <c r="E102" s="132"/>
      <c r="F102" s="132"/>
      <c r="G102" s="132"/>
      <c r="H102" s="140"/>
      <c r="I102" s="132"/>
      <c r="J102" s="132"/>
      <c r="K102" s="132"/>
      <c r="L102" s="132"/>
      <c r="M102" s="140"/>
      <c r="N102" s="132"/>
      <c r="O102" s="132"/>
      <c r="P102" s="132"/>
      <c r="Q102" s="132"/>
    </row>
    <row r="103" spans="1:17" ht="30">
      <c r="A103" s="190">
        <v>7</v>
      </c>
      <c r="B103" s="148"/>
      <c r="C103" s="140"/>
      <c r="D103" s="147">
        <v>41883</v>
      </c>
      <c r="E103" s="138" t="s">
        <v>1639</v>
      </c>
      <c r="F103" s="138" t="s">
        <v>1640</v>
      </c>
      <c r="G103" s="190">
        <v>7</v>
      </c>
      <c r="H103" s="140"/>
      <c r="I103" s="147">
        <v>41883</v>
      </c>
      <c r="J103" s="138" t="s">
        <v>1639</v>
      </c>
      <c r="K103" s="138" t="s">
        <v>1638</v>
      </c>
      <c r="L103" s="190">
        <v>7</v>
      </c>
      <c r="M103" s="140"/>
      <c r="N103" s="147">
        <v>41883</v>
      </c>
      <c r="O103" s="138" t="s">
        <v>1639</v>
      </c>
      <c r="P103" s="138" t="s">
        <v>1638</v>
      </c>
      <c r="Q103" s="132"/>
    </row>
    <row r="104" spans="1:17" ht="18.75">
      <c r="A104" s="190"/>
      <c r="B104" s="192" t="s">
        <v>1044</v>
      </c>
      <c r="C104" s="140"/>
      <c r="D104" s="176">
        <v>42278</v>
      </c>
      <c r="E104" s="175" t="s">
        <v>1637</v>
      </c>
      <c r="F104" s="174"/>
      <c r="G104" s="190"/>
      <c r="H104" s="140"/>
      <c r="I104" s="176">
        <v>41913</v>
      </c>
      <c r="J104" s="175" t="s">
        <v>1652</v>
      </c>
      <c r="K104" s="174"/>
      <c r="L104" s="190"/>
      <c r="M104" s="140"/>
      <c r="N104" s="176">
        <v>41913</v>
      </c>
      <c r="O104" s="175" t="s">
        <v>1652</v>
      </c>
      <c r="P104" s="174"/>
      <c r="Q104" s="132"/>
    </row>
    <row r="105" spans="1:17" ht="120">
      <c r="A105" s="190"/>
      <c r="B105" s="192"/>
      <c r="C105" s="140"/>
      <c r="D105" s="173">
        <v>41913</v>
      </c>
      <c r="E105" s="172" t="s">
        <v>1635</v>
      </c>
      <c r="F105" s="177" t="s">
        <v>1634</v>
      </c>
      <c r="G105" s="190"/>
      <c r="H105" s="140"/>
      <c r="I105" s="173">
        <v>41913</v>
      </c>
      <c r="J105" s="172" t="s">
        <v>1633</v>
      </c>
      <c r="K105" s="169" t="s">
        <v>1651</v>
      </c>
      <c r="L105" s="190"/>
      <c r="M105" s="140"/>
      <c r="N105" s="173">
        <v>41913</v>
      </c>
      <c r="O105" s="172" t="s">
        <v>1631</v>
      </c>
      <c r="P105" s="169" t="s">
        <v>1650</v>
      </c>
      <c r="Q105" s="132"/>
    </row>
    <row r="106" spans="1:17" ht="18.75">
      <c r="A106" s="190"/>
      <c r="B106" s="192"/>
      <c r="C106" s="140"/>
      <c r="D106" s="173">
        <v>42156</v>
      </c>
      <c r="E106" s="170" t="s">
        <v>1629</v>
      </c>
      <c r="F106" s="169"/>
      <c r="G106" s="190"/>
      <c r="H106" s="140"/>
      <c r="I106" s="173">
        <v>42125</v>
      </c>
      <c r="J106" s="170" t="s">
        <v>1649</v>
      </c>
      <c r="K106" s="169"/>
      <c r="L106" s="190"/>
      <c r="M106" s="140"/>
      <c r="N106" s="173">
        <v>42095</v>
      </c>
      <c r="O106" s="170" t="s">
        <v>1628</v>
      </c>
      <c r="P106" s="169"/>
      <c r="Q106" s="132"/>
    </row>
    <row r="107" spans="1:17" ht="60">
      <c r="A107" s="190"/>
      <c r="B107" s="192"/>
      <c r="C107" s="140"/>
      <c r="D107" s="166">
        <v>42248</v>
      </c>
      <c r="E107" s="165" t="s">
        <v>1303</v>
      </c>
      <c r="F107" s="164" t="s">
        <v>1648</v>
      </c>
      <c r="G107" s="190"/>
      <c r="H107" s="140"/>
      <c r="I107" s="166">
        <v>42248</v>
      </c>
      <c r="J107" s="165" t="s">
        <v>1647</v>
      </c>
      <c r="K107" s="164" t="s">
        <v>1646</v>
      </c>
      <c r="L107" s="190"/>
      <c r="M107" s="140"/>
      <c r="N107" s="166">
        <v>42217</v>
      </c>
      <c r="O107" s="165" t="s">
        <v>1303</v>
      </c>
      <c r="P107" s="164" t="s">
        <v>1622</v>
      </c>
      <c r="Q107" s="132"/>
    </row>
    <row r="108" spans="1:17" ht="18.75">
      <c r="A108" s="190"/>
      <c r="B108" s="192" t="s">
        <v>1034</v>
      </c>
      <c r="C108" s="140"/>
      <c r="D108" s="176">
        <v>42339</v>
      </c>
      <c r="E108" s="175" t="s">
        <v>1355</v>
      </c>
      <c r="F108" s="174"/>
      <c r="G108" s="190"/>
      <c r="H108" s="140"/>
      <c r="I108" s="176">
        <v>42339</v>
      </c>
      <c r="J108" s="175" t="s">
        <v>1355</v>
      </c>
      <c r="K108" s="174"/>
      <c r="L108" s="190"/>
      <c r="M108" s="140"/>
      <c r="N108" s="176">
        <v>42339</v>
      </c>
      <c r="O108" s="175" t="s">
        <v>1355</v>
      </c>
      <c r="P108" s="174"/>
      <c r="Q108" s="132"/>
    </row>
    <row r="109" spans="1:17" ht="105">
      <c r="A109" s="190"/>
      <c r="B109" s="192"/>
      <c r="C109" s="140"/>
      <c r="D109" s="173">
        <v>42461</v>
      </c>
      <c r="E109" s="172" t="s">
        <v>1620</v>
      </c>
      <c r="F109" s="169" t="s">
        <v>1619</v>
      </c>
      <c r="G109" s="190"/>
      <c r="H109" s="140"/>
      <c r="I109" s="173">
        <v>42491</v>
      </c>
      <c r="J109" s="172" t="s">
        <v>1645</v>
      </c>
      <c r="K109" s="169" t="s">
        <v>1617</v>
      </c>
      <c r="L109" s="190"/>
      <c r="M109" s="140"/>
      <c r="N109" s="173">
        <v>42522</v>
      </c>
      <c r="O109" s="172" t="s">
        <v>1609</v>
      </c>
      <c r="P109" s="169" t="s">
        <v>1608</v>
      </c>
      <c r="Q109" s="132"/>
    </row>
    <row r="110" spans="1:17" ht="18.75">
      <c r="A110" s="190"/>
      <c r="B110" s="192"/>
      <c r="C110" s="140"/>
      <c r="D110" s="171"/>
      <c r="E110" s="170"/>
      <c r="F110" s="169"/>
      <c r="G110" s="190"/>
      <c r="H110" s="140"/>
      <c r="I110" s="173">
        <v>42583</v>
      </c>
      <c r="J110" s="170" t="s">
        <v>1614</v>
      </c>
      <c r="K110" s="169"/>
      <c r="L110" s="190"/>
      <c r="M110" s="140"/>
      <c r="N110" s="173"/>
      <c r="O110" s="170" t="s">
        <v>1607</v>
      </c>
      <c r="P110" s="169"/>
      <c r="Q110" s="132"/>
    </row>
    <row r="111" spans="1:17" ht="60">
      <c r="A111" s="190"/>
      <c r="B111" s="192"/>
      <c r="C111" s="140"/>
      <c r="D111" s="166">
        <v>42583</v>
      </c>
      <c r="E111" s="165" t="s">
        <v>1613</v>
      </c>
      <c r="F111" s="164" t="s">
        <v>1612</v>
      </c>
      <c r="G111" s="190"/>
      <c r="H111" s="140"/>
      <c r="I111" s="166">
        <v>42583</v>
      </c>
      <c r="J111" s="165" t="s">
        <v>1611</v>
      </c>
      <c r="K111" s="164" t="s">
        <v>1644</v>
      </c>
      <c r="L111" s="190"/>
      <c r="M111" s="140"/>
      <c r="N111" s="166">
        <v>42614</v>
      </c>
      <c r="O111" s="165" t="s">
        <v>1606</v>
      </c>
      <c r="P111" s="164" t="s">
        <v>1605</v>
      </c>
      <c r="Q111" s="132"/>
    </row>
    <row r="112" spans="1:17" ht="18.75">
      <c r="A112" s="190"/>
      <c r="B112" s="193" t="s">
        <v>1021</v>
      </c>
      <c r="C112" s="140"/>
      <c r="D112" s="144">
        <v>42644</v>
      </c>
      <c r="E112" s="143" t="s">
        <v>1604</v>
      </c>
      <c r="F112" s="142"/>
      <c r="G112" s="190"/>
      <c r="H112" s="140"/>
      <c r="I112" s="144">
        <v>42705</v>
      </c>
      <c r="J112" s="143" t="s">
        <v>1604</v>
      </c>
      <c r="K112" s="142"/>
      <c r="L112" s="190"/>
      <c r="M112" s="140"/>
      <c r="N112" s="144">
        <v>42705</v>
      </c>
      <c r="O112" s="143" t="s">
        <v>1603</v>
      </c>
      <c r="P112" s="142"/>
      <c r="Q112" s="132"/>
    </row>
    <row r="113" spans="1:17" ht="58.5" customHeight="1">
      <c r="A113" s="190"/>
      <c r="B113" s="194"/>
      <c r="C113" s="136">
        <v>11</v>
      </c>
      <c r="D113" s="139">
        <v>42675</v>
      </c>
      <c r="E113" s="141" t="s">
        <v>1602</v>
      </c>
      <c r="F113" s="137" t="s">
        <v>1601</v>
      </c>
      <c r="G113" s="190"/>
      <c r="H113" s="136">
        <v>4</v>
      </c>
      <c r="I113" s="139">
        <v>42795</v>
      </c>
      <c r="J113" s="141" t="s">
        <v>1600</v>
      </c>
      <c r="K113" s="137" t="s">
        <v>1599</v>
      </c>
      <c r="L113" s="190"/>
      <c r="M113" s="136">
        <v>7</v>
      </c>
      <c r="N113" s="139">
        <v>42826</v>
      </c>
      <c r="O113" s="141" t="s">
        <v>1598</v>
      </c>
      <c r="P113" s="137" t="s">
        <v>1597</v>
      </c>
      <c r="Q113" s="132"/>
    </row>
    <row r="114" spans="1:17" ht="18.75">
      <c r="A114" s="190"/>
      <c r="B114" s="194"/>
      <c r="C114" s="140"/>
      <c r="D114" s="158"/>
      <c r="E114" s="138"/>
      <c r="F114" s="137"/>
      <c r="G114" s="190"/>
      <c r="H114" s="140"/>
      <c r="I114" s="158"/>
      <c r="J114" s="138"/>
      <c r="K114" s="137"/>
      <c r="L114" s="190"/>
      <c r="M114" s="140"/>
      <c r="N114" s="158"/>
      <c r="O114" s="138"/>
      <c r="P114" s="137"/>
      <c r="Q114" s="132"/>
    </row>
    <row r="115" spans="1:17" ht="49.5" customHeight="1">
      <c r="A115" s="190"/>
      <c r="B115" s="194"/>
      <c r="C115" s="136">
        <v>4</v>
      </c>
      <c r="D115" s="139">
        <v>42887</v>
      </c>
      <c r="E115" s="141" t="s">
        <v>1643</v>
      </c>
      <c r="F115" s="137" t="s">
        <v>1642</v>
      </c>
      <c r="G115" s="190"/>
      <c r="H115" s="136">
        <v>6</v>
      </c>
      <c r="I115" s="139">
        <v>42917</v>
      </c>
      <c r="J115" s="141" t="s">
        <v>1344</v>
      </c>
      <c r="K115" s="137" t="s">
        <v>1595</v>
      </c>
      <c r="L115" s="190"/>
      <c r="M115" s="136">
        <v>20</v>
      </c>
      <c r="N115" s="139">
        <v>42948</v>
      </c>
      <c r="O115" s="141" t="s">
        <v>931</v>
      </c>
      <c r="P115" s="137" t="s">
        <v>1594</v>
      </c>
      <c r="Q115" s="132"/>
    </row>
    <row r="116" spans="1:17" ht="18.75">
      <c r="A116" s="190"/>
      <c r="B116" s="194"/>
      <c r="C116" s="140"/>
      <c r="D116" s="158"/>
      <c r="E116" s="138"/>
      <c r="F116" s="137"/>
      <c r="G116" s="190"/>
      <c r="H116" s="140"/>
      <c r="I116" s="158"/>
      <c r="J116" s="138"/>
      <c r="K116" s="137"/>
      <c r="L116" s="190"/>
      <c r="M116" s="140"/>
      <c r="N116" s="158"/>
      <c r="O116" s="138"/>
      <c r="P116" s="137"/>
      <c r="Q116" s="132"/>
    </row>
    <row r="117" spans="1:17" ht="53.25" customHeight="1">
      <c r="A117" s="190"/>
      <c r="B117" s="195"/>
      <c r="C117" s="136">
        <v>2</v>
      </c>
      <c r="D117" s="135">
        <v>42979</v>
      </c>
      <c r="E117" s="134" t="s">
        <v>1303</v>
      </c>
      <c r="F117" s="133" t="s">
        <v>1641</v>
      </c>
      <c r="G117" s="190"/>
      <c r="H117" s="140"/>
      <c r="I117" s="145"/>
      <c r="J117" s="156"/>
      <c r="K117" s="133"/>
      <c r="L117" s="190"/>
      <c r="M117" s="140"/>
      <c r="N117" s="145"/>
      <c r="O117" s="156"/>
      <c r="P117" s="133"/>
      <c r="Q117" s="132"/>
    </row>
    <row r="118" spans="1:17" ht="18.75">
      <c r="A118" s="132"/>
      <c r="B118" s="132"/>
      <c r="C118" s="140"/>
      <c r="D118" s="132"/>
      <c r="E118" s="132"/>
      <c r="F118" s="132"/>
      <c r="G118" s="132"/>
      <c r="H118" s="140"/>
      <c r="I118" s="132"/>
      <c r="J118" s="132"/>
      <c r="K118" s="132"/>
      <c r="L118" s="132"/>
      <c r="M118" s="140"/>
      <c r="N118" s="132"/>
      <c r="O118" s="132"/>
      <c r="P118" s="132"/>
      <c r="Q118" s="132"/>
    </row>
    <row r="119" spans="1:17" ht="30">
      <c r="A119" s="190">
        <v>8</v>
      </c>
      <c r="B119" s="148"/>
      <c r="C119" s="140"/>
      <c r="D119" s="147">
        <v>41883</v>
      </c>
      <c r="E119" s="138" t="s">
        <v>1639</v>
      </c>
      <c r="F119" s="138" t="s">
        <v>1640</v>
      </c>
      <c r="G119" s="190">
        <v>8</v>
      </c>
      <c r="H119" s="140"/>
      <c r="I119" s="147">
        <v>41883</v>
      </c>
      <c r="J119" s="138" t="s">
        <v>1639</v>
      </c>
      <c r="K119" s="138" t="s">
        <v>1638</v>
      </c>
      <c r="L119" s="190">
        <v>8</v>
      </c>
      <c r="M119" s="140"/>
      <c r="N119" s="147">
        <v>41883</v>
      </c>
      <c r="O119" s="138" t="s">
        <v>1639</v>
      </c>
      <c r="P119" s="138" t="s">
        <v>1638</v>
      </c>
      <c r="Q119" s="132"/>
    </row>
    <row r="120" spans="1:17" ht="18.75">
      <c r="A120" s="190"/>
      <c r="B120" s="192" t="s">
        <v>1044</v>
      </c>
      <c r="C120" s="140"/>
      <c r="D120" s="176">
        <v>42278</v>
      </c>
      <c r="E120" s="175" t="s">
        <v>1637</v>
      </c>
      <c r="F120" s="174"/>
      <c r="G120" s="190"/>
      <c r="H120" s="140"/>
      <c r="I120" s="176">
        <v>41913</v>
      </c>
      <c r="J120" s="175" t="s">
        <v>1636</v>
      </c>
      <c r="K120" s="174"/>
      <c r="L120" s="190"/>
      <c r="M120" s="140"/>
      <c r="N120" s="176">
        <v>41913</v>
      </c>
      <c r="O120" s="175" t="s">
        <v>1636</v>
      </c>
      <c r="P120" s="174"/>
      <c r="Q120" s="132"/>
    </row>
    <row r="121" spans="1:17" ht="120">
      <c r="A121" s="190"/>
      <c r="B121" s="192"/>
      <c r="C121" s="132"/>
      <c r="D121" s="173">
        <v>42278</v>
      </c>
      <c r="E121" s="172" t="s">
        <v>1635</v>
      </c>
      <c r="F121" s="177" t="s">
        <v>1634</v>
      </c>
      <c r="G121" s="190"/>
      <c r="H121" s="132"/>
      <c r="I121" s="173">
        <v>41913</v>
      </c>
      <c r="J121" s="172" t="s">
        <v>1633</v>
      </c>
      <c r="K121" s="169" t="s">
        <v>1632</v>
      </c>
      <c r="L121" s="190"/>
      <c r="M121" s="132"/>
      <c r="N121" s="173">
        <v>41913</v>
      </c>
      <c r="O121" s="172" t="s">
        <v>1631</v>
      </c>
      <c r="P121" s="169" t="s">
        <v>1630</v>
      </c>
      <c r="Q121" s="132"/>
    </row>
    <row r="122" spans="1:17" ht="18.75">
      <c r="A122" s="190"/>
      <c r="B122" s="192"/>
      <c r="C122" s="140"/>
      <c r="D122" s="173">
        <v>42156</v>
      </c>
      <c r="E122" s="170" t="s">
        <v>1629</v>
      </c>
      <c r="F122" s="169"/>
      <c r="G122" s="190"/>
      <c r="H122" s="140"/>
      <c r="I122" s="173"/>
      <c r="J122" s="170"/>
      <c r="K122" s="169"/>
      <c r="L122" s="190"/>
      <c r="M122" s="140"/>
      <c r="N122" s="173">
        <v>42156</v>
      </c>
      <c r="O122" s="170" t="s">
        <v>1628</v>
      </c>
      <c r="P122" s="169"/>
      <c r="Q122" s="132"/>
    </row>
    <row r="123" spans="1:17" ht="60">
      <c r="A123" s="190"/>
      <c r="B123" s="192"/>
      <c r="C123" s="140"/>
      <c r="D123" s="166">
        <v>42248</v>
      </c>
      <c r="E123" s="165" t="s">
        <v>1627</v>
      </c>
      <c r="F123" s="164" t="s">
        <v>1626</v>
      </c>
      <c r="G123" s="190"/>
      <c r="H123" s="140"/>
      <c r="I123" s="166">
        <v>42217</v>
      </c>
      <c r="J123" s="165" t="s">
        <v>1625</v>
      </c>
      <c r="K123" s="164" t="s">
        <v>1624</v>
      </c>
      <c r="L123" s="190"/>
      <c r="M123" s="140"/>
      <c r="N123" s="166">
        <v>42217</v>
      </c>
      <c r="O123" s="165" t="s">
        <v>1623</v>
      </c>
      <c r="P123" s="164" t="s">
        <v>1622</v>
      </c>
      <c r="Q123" s="132"/>
    </row>
    <row r="124" spans="1:17" ht="18.75" customHeight="1">
      <c r="A124" s="190"/>
      <c r="B124" s="192" t="s">
        <v>1034</v>
      </c>
      <c r="C124" s="140"/>
      <c r="D124" s="176">
        <v>42309</v>
      </c>
      <c r="E124" s="175" t="s">
        <v>1183</v>
      </c>
      <c r="F124" s="174"/>
      <c r="G124" s="190"/>
      <c r="H124" s="140"/>
      <c r="I124" s="176">
        <v>42461</v>
      </c>
      <c r="J124" s="175" t="s">
        <v>1355</v>
      </c>
      <c r="K124" s="174" t="s">
        <v>1621</v>
      </c>
      <c r="L124" s="190"/>
      <c r="M124" s="140"/>
      <c r="N124" s="176">
        <v>42339</v>
      </c>
      <c r="O124" s="175" t="s">
        <v>1355</v>
      </c>
      <c r="P124" s="174"/>
      <c r="Q124" s="132"/>
    </row>
    <row r="125" spans="1:17" ht="105">
      <c r="A125" s="190"/>
      <c r="B125" s="192"/>
      <c r="C125" s="140"/>
      <c r="D125" s="173">
        <v>42461</v>
      </c>
      <c r="E125" s="172" t="s">
        <v>1620</v>
      </c>
      <c r="F125" s="169" t="s">
        <v>1619</v>
      </c>
      <c r="G125" s="190"/>
      <c r="H125" s="140"/>
      <c r="I125" s="173">
        <v>42491</v>
      </c>
      <c r="J125" s="172" t="s">
        <v>1618</v>
      </c>
      <c r="K125" s="169" t="s">
        <v>1617</v>
      </c>
      <c r="L125" s="190"/>
      <c r="M125" s="140"/>
      <c r="N125" s="173">
        <v>42461</v>
      </c>
      <c r="O125" s="172" t="s">
        <v>1616</v>
      </c>
      <c r="P125" s="169" t="s">
        <v>1615</v>
      </c>
      <c r="Q125" s="132"/>
    </row>
    <row r="126" spans="1:17" ht="18.75">
      <c r="A126" s="190"/>
      <c r="B126" s="192"/>
      <c r="C126" s="140"/>
      <c r="D126" s="171"/>
      <c r="E126" s="170"/>
      <c r="F126" s="169"/>
      <c r="G126" s="190"/>
      <c r="H126" s="140"/>
      <c r="I126" s="173">
        <v>42583</v>
      </c>
      <c r="J126" s="170" t="s">
        <v>1614</v>
      </c>
      <c r="K126" s="169"/>
      <c r="L126" s="190"/>
      <c r="M126" s="140"/>
      <c r="N126" s="171"/>
      <c r="O126" s="170"/>
      <c r="P126" s="169"/>
      <c r="Q126" s="132"/>
    </row>
    <row r="127" spans="1:17" ht="60">
      <c r="A127" s="190"/>
      <c r="B127" s="192"/>
      <c r="C127" s="140"/>
      <c r="D127" s="173">
        <v>42583</v>
      </c>
      <c r="E127" s="172" t="s">
        <v>1613</v>
      </c>
      <c r="F127" s="169" t="s">
        <v>1612</v>
      </c>
      <c r="G127" s="190"/>
      <c r="H127" s="140"/>
      <c r="I127" s="173">
        <v>42583</v>
      </c>
      <c r="J127" s="172" t="s">
        <v>1611</v>
      </c>
      <c r="K127" s="169" t="s">
        <v>1610</v>
      </c>
      <c r="L127" s="190"/>
      <c r="M127" s="140"/>
      <c r="N127" s="173">
        <v>42522</v>
      </c>
      <c r="O127" s="172" t="s">
        <v>1609</v>
      </c>
      <c r="P127" s="169" t="s">
        <v>1608</v>
      </c>
      <c r="Q127" s="132"/>
    </row>
    <row r="128" spans="1:17" ht="18.75">
      <c r="A128" s="190"/>
      <c r="B128" s="192"/>
      <c r="C128" s="140"/>
      <c r="D128" s="171"/>
      <c r="E128" s="170"/>
      <c r="F128" s="169"/>
      <c r="G128" s="190"/>
      <c r="H128" s="140"/>
      <c r="I128" s="171"/>
      <c r="J128" s="170"/>
      <c r="K128" s="169"/>
      <c r="L128" s="190"/>
      <c r="M128" s="140"/>
      <c r="N128" s="171"/>
      <c r="O128" s="170" t="s">
        <v>1607</v>
      </c>
      <c r="P128" s="169"/>
      <c r="Q128" s="132"/>
    </row>
    <row r="129" spans="1:17" ht="30">
      <c r="A129" s="190"/>
      <c r="B129" s="192"/>
      <c r="C129" s="140"/>
      <c r="D129" s="168"/>
      <c r="E129" s="167"/>
      <c r="F129" s="164"/>
      <c r="G129" s="190"/>
      <c r="H129" s="140"/>
      <c r="I129" s="168"/>
      <c r="J129" s="167"/>
      <c r="K129" s="164"/>
      <c r="L129" s="190"/>
      <c r="M129" s="140"/>
      <c r="N129" s="166">
        <v>42614</v>
      </c>
      <c r="O129" s="165" t="s">
        <v>1606</v>
      </c>
      <c r="P129" s="164" t="s">
        <v>1605</v>
      </c>
      <c r="Q129" s="132"/>
    </row>
    <row r="130" spans="1:17" ht="18.75">
      <c r="A130" s="190"/>
      <c r="B130" s="193" t="s">
        <v>1021</v>
      </c>
      <c r="C130" s="140"/>
      <c r="D130" s="144">
        <v>42644</v>
      </c>
      <c r="E130" s="143" t="s">
        <v>1604</v>
      </c>
      <c r="F130" s="142"/>
      <c r="G130" s="190"/>
      <c r="H130" s="140"/>
      <c r="I130" s="144">
        <v>42705</v>
      </c>
      <c r="J130" s="143" t="s">
        <v>1604</v>
      </c>
      <c r="K130" s="142"/>
      <c r="L130" s="190"/>
      <c r="M130" s="140"/>
      <c r="N130" s="144">
        <v>42705</v>
      </c>
      <c r="O130" s="143" t="s">
        <v>1603</v>
      </c>
      <c r="P130" s="142"/>
      <c r="Q130" s="132"/>
    </row>
    <row r="131" spans="1:17" ht="65.25" customHeight="1">
      <c r="A131" s="190"/>
      <c r="B131" s="194"/>
      <c r="C131" s="136">
        <v>11</v>
      </c>
      <c r="D131" s="139">
        <v>42675</v>
      </c>
      <c r="E131" s="141" t="s">
        <v>1602</v>
      </c>
      <c r="F131" s="137" t="s">
        <v>1601</v>
      </c>
      <c r="G131" s="190"/>
      <c r="H131" s="136">
        <v>4</v>
      </c>
      <c r="I131" s="139">
        <v>42795</v>
      </c>
      <c r="J131" s="141" t="s">
        <v>1600</v>
      </c>
      <c r="K131" s="137" t="s">
        <v>1599</v>
      </c>
      <c r="L131" s="190"/>
      <c r="M131" s="136">
        <v>7</v>
      </c>
      <c r="N131" s="139">
        <v>42826</v>
      </c>
      <c r="O131" s="141" t="s">
        <v>1598</v>
      </c>
      <c r="P131" s="137" t="s">
        <v>1597</v>
      </c>
      <c r="Q131" s="132"/>
    </row>
    <row r="132" spans="1:17" ht="18.75">
      <c r="A132" s="190"/>
      <c r="B132" s="194"/>
      <c r="C132" s="140"/>
      <c r="D132" s="158"/>
      <c r="E132" s="138"/>
      <c r="F132" s="137"/>
      <c r="G132" s="190"/>
      <c r="H132" s="140"/>
      <c r="I132" s="158"/>
      <c r="J132" s="138"/>
      <c r="K132" s="137"/>
      <c r="L132" s="190"/>
      <c r="M132" s="140"/>
      <c r="N132" s="158"/>
      <c r="O132" s="138"/>
      <c r="P132" s="137"/>
      <c r="Q132" s="132"/>
    </row>
    <row r="133" spans="1:17" ht="61.5" customHeight="1">
      <c r="A133" s="190"/>
      <c r="B133" s="194"/>
      <c r="C133" s="136">
        <v>1</v>
      </c>
      <c r="D133" s="139">
        <v>42887</v>
      </c>
      <c r="E133" s="141" t="s">
        <v>883</v>
      </c>
      <c r="F133" s="137" t="s">
        <v>1596</v>
      </c>
      <c r="G133" s="190"/>
      <c r="H133" s="136">
        <v>6</v>
      </c>
      <c r="I133" s="139">
        <v>42917</v>
      </c>
      <c r="J133" s="141" t="s">
        <v>1344</v>
      </c>
      <c r="K133" s="137" t="s">
        <v>1595</v>
      </c>
      <c r="L133" s="190"/>
      <c r="M133" s="136">
        <v>20</v>
      </c>
      <c r="N133" s="139">
        <v>42917</v>
      </c>
      <c r="O133" s="141" t="s">
        <v>897</v>
      </c>
      <c r="P133" s="137" t="s">
        <v>1594</v>
      </c>
      <c r="Q133" s="132"/>
    </row>
    <row r="134" spans="1:17" ht="18.75">
      <c r="A134" s="190"/>
      <c r="B134" s="194"/>
      <c r="C134" s="140"/>
      <c r="D134" s="158"/>
      <c r="E134" s="138"/>
      <c r="F134" s="137"/>
      <c r="G134" s="190"/>
      <c r="H134" s="140"/>
      <c r="I134" s="158"/>
      <c r="J134" s="138"/>
      <c r="K134" s="137"/>
      <c r="L134" s="190"/>
      <c r="M134" s="140"/>
      <c r="N134" s="158"/>
      <c r="O134" s="138"/>
      <c r="P134" s="137"/>
      <c r="Q134" s="132"/>
    </row>
    <row r="135" spans="1:17" ht="44.25" customHeight="1">
      <c r="A135" s="190"/>
      <c r="B135" s="195"/>
      <c r="C135" s="136">
        <v>3</v>
      </c>
      <c r="D135" s="135">
        <v>42979</v>
      </c>
      <c r="E135" s="134" t="s">
        <v>1593</v>
      </c>
      <c r="F135" s="133" t="s">
        <v>1592</v>
      </c>
      <c r="G135" s="190"/>
      <c r="H135" s="140"/>
      <c r="I135" s="145"/>
      <c r="J135" s="156"/>
      <c r="K135" s="133"/>
      <c r="L135" s="190"/>
      <c r="M135" s="140"/>
      <c r="N135" s="145"/>
      <c r="O135" s="156"/>
      <c r="P135" s="133"/>
      <c r="Q135" s="132"/>
    </row>
    <row r="136" spans="1:17" ht="18.75">
      <c r="A136" s="132"/>
      <c r="B136" s="132"/>
      <c r="C136" s="140"/>
      <c r="D136" s="132"/>
      <c r="E136" s="132"/>
      <c r="F136" s="132"/>
      <c r="G136" s="132"/>
      <c r="H136" s="140"/>
      <c r="I136" s="132"/>
      <c r="J136" s="132"/>
      <c r="K136" s="132"/>
      <c r="L136" s="132"/>
      <c r="M136" s="140"/>
      <c r="N136" s="132"/>
      <c r="O136" s="132"/>
      <c r="P136" s="132"/>
      <c r="Q136" s="132"/>
    </row>
    <row r="137" spans="1:17">
      <c r="A137" s="163"/>
      <c r="B137" s="163"/>
      <c r="D137" s="163"/>
      <c r="E137" s="163"/>
      <c r="F137" s="163"/>
      <c r="G137" s="163"/>
      <c r="I137" s="163"/>
      <c r="J137" s="163"/>
      <c r="K137" s="163"/>
      <c r="L137" s="163"/>
      <c r="N137" s="17"/>
      <c r="O137" s="17"/>
      <c r="P137" s="17"/>
      <c r="Q137" s="17"/>
    </row>
  </sheetData>
  <mergeCells count="52">
    <mergeCell ref="A21:A35"/>
    <mergeCell ref="G21:G35"/>
    <mergeCell ref="L21:L35"/>
    <mergeCell ref="B22:B25"/>
    <mergeCell ref="A1:Q1"/>
    <mergeCell ref="D2:F2"/>
    <mergeCell ref="I2:K2"/>
    <mergeCell ref="N2:P2"/>
    <mergeCell ref="A3:A17"/>
    <mergeCell ref="G3:G17"/>
    <mergeCell ref="L3:L17"/>
    <mergeCell ref="B6:B9"/>
    <mergeCell ref="B10:B13"/>
    <mergeCell ref="B14:B19"/>
    <mergeCell ref="B26:B29"/>
    <mergeCell ref="B30:B35"/>
    <mergeCell ref="B46:B51"/>
    <mergeCell ref="B112:B117"/>
    <mergeCell ref="B130:B135"/>
    <mergeCell ref="B62:B67"/>
    <mergeCell ref="B80:B85"/>
    <mergeCell ref="A37:A51"/>
    <mergeCell ref="G37:G51"/>
    <mergeCell ref="L37:L51"/>
    <mergeCell ref="B38:B41"/>
    <mergeCell ref="A53:A67"/>
    <mergeCell ref="G53:G67"/>
    <mergeCell ref="L53:L67"/>
    <mergeCell ref="B54:B57"/>
    <mergeCell ref="B42:B45"/>
    <mergeCell ref="A69:A85"/>
    <mergeCell ref="G69:G85"/>
    <mergeCell ref="L69:L85"/>
    <mergeCell ref="B70:B73"/>
    <mergeCell ref="B58:B61"/>
    <mergeCell ref="B74:B79"/>
    <mergeCell ref="A119:A135"/>
    <mergeCell ref="G119:G135"/>
    <mergeCell ref="L119:L135"/>
    <mergeCell ref="B120:B123"/>
    <mergeCell ref="A87:A101"/>
    <mergeCell ref="G87:G101"/>
    <mergeCell ref="L87:L101"/>
    <mergeCell ref="B88:B91"/>
    <mergeCell ref="A103:A117"/>
    <mergeCell ref="G103:G117"/>
    <mergeCell ref="L103:L117"/>
    <mergeCell ref="B104:B107"/>
    <mergeCell ref="B92:B95"/>
    <mergeCell ref="B108:B111"/>
    <mergeCell ref="B124:B129"/>
    <mergeCell ref="B96:B101"/>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Q92"/>
  <sheetViews>
    <sheetView topLeftCell="F13" zoomScale="70" zoomScaleNormal="70" workbookViewId="0">
      <selection activeCell="I31" sqref="I31"/>
    </sheetView>
  </sheetViews>
  <sheetFormatPr defaultRowHeight="15"/>
  <cols>
    <col min="1" max="2" width="9.140625" style="23"/>
    <col min="3" max="3" width="16.7109375" style="23" customWidth="1"/>
    <col min="4" max="4" width="17" style="23" customWidth="1"/>
    <col min="5" max="5" width="54.28515625" style="23" customWidth="1"/>
    <col min="6" max="6" width="95.140625" style="23" customWidth="1"/>
    <col min="7" max="7" width="3.7109375" style="23" customWidth="1"/>
    <col min="8" max="8" width="15.5703125" style="23" customWidth="1"/>
    <col min="9" max="9" width="17" style="23" bestFit="1" customWidth="1"/>
    <col min="10" max="10" width="51.85546875" style="23" customWidth="1"/>
    <col min="11" max="11" width="73" style="23" customWidth="1"/>
    <col min="12" max="12" width="3.7109375" style="23" bestFit="1" customWidth="1"/>
    <col min="13" max="13" width="11.7109375" style="23" customWidth="1"/>
    <col min="14" max="14" width="17" style="23" bestFit="1" customWidth="1"/>
    <col min="15" max="15" width="50.28515625" style="23" bestFit="1" customWidth="1"/>
    <col min="16" max="16" width="98.85546875" style="23" bestFit="1" customWidth="1"/>
    <col min="17" max="17" width="9.140625" style="23" customWidth="1"/>
    <col min="18" max="16384" width="9.140625" style="23"/>
  </cols>
  <sheetData>
    <row r="1" spans="1:17" ht="62.25" thickBot="1">
      <c r="A1" s="196" t="s">
        <v>488</v>
      </c>
      <c r="B1" s="197"/>
      <c r="C1" s="197"/>
      <c r="D1" s="197"/>
      <c r="E1" s="197"/>
      <c r="F1" s="197"/>
      <c r="G1" s="197"/>
      <c r="H1" s="197"/>
      <c r="I1" s="197"/>
      <c r="J1" s="197"/>
      <c r="K1" s="197"/>
      <c r="L1" s="197"/>
      <c r="M1" s="197"/>
      <c r="N1" s="197"/>
      <c r="O1" s="197"/>
      <c r="P1" s="197"/>
      <c r="Q1" s="198"/>
    </row>
    <row r="2" spans="1:17" ht="26.25">
      <c r="A2" s="132"/>
      <c r="B2" s="132"/>
      <c r="C2" s="132"/>
      <c r="D2" s="201" t="s">
        <v>480</v>
      </c>
      <c r="E2" s="201"/>
      <c r="F2" s="201"/>
      <c r="G2" s="132"/>
      <c r="H2" s="132"/>
      <c r="I2" s="201" t="s">
        <v>481</v>
      </c>
      <c r="J2" s="201"/>
      <c r="K2" s="201"/>
      <c r="L2" s="132"/>
      <c r="M2" s="132"/>
      <c r="N2" s="201" t="s">
        <v>482</v>
      </c>
      <c r="O2" s="201"/>
      <c r="P2" s="201"/>
      <c r="Q2" s="132"/>
    </row>
    <row r="3" spans="1:17" ht="18.75">
      <c r="A3" s="190">
        <v>1</v>
      </c>
      <c r="B3" s="148"/>
      <c r="C3" s="140"/>
      <c r="D3" s="155"/>
      <c r="E3" s="155"/>
      <c r="F3" s="155"/>
      <c r="G3" s="190">
        <v>1</v>
      </c>
      <c r="H3" s="140"/>
      <c r="I3" s="155"/>
      <c r="J3" s="155" t="s">
        <v>481</v>
      </c>
      <c r="K3" s="155"/>
      <c r="L3" s="190">
        <v>1</v>
      </c>
      <c r="M3" s="140"/>
      <c r="N3" s="155" t="s">
        <v>482</v>
      </c>
      <c r="O3" s="155"/>
      <c r="P3" s="155"/>
      <c r="Q3" s="154"/>
    </row>
    <row r="4" spans="1:17" ht="18.75">
      <c r="A4" s="190"/>
      <c r="B4" s="148"/>
      <c r="C4" s="140"/>
      <c r="D4" s="153" t="s">
        <v>483</v>
      </c>
      <c r="E4" s="153" t="s">
        <v>1149</v>
      </c>
      <c r="F4" s="153" t="s">
        <v>1148</v>
      </c>
      <c r="G4" s="190"/>
      <c r="H4" s="140"/>
      <c r="I4" s="153" t="s">
        <v>483</v>
      </c>
      <c r="J4" s="153" t="s">
        <v>1149</v>
      </c>
      <c r="K4" s="153" t="s">
        <v>1148</v>
      </c>
      <c r="L4" s="190"/>
      <c r="M4" s="140"/>
      <c r="N4" s="153" t="s">
        <v>483</v>
      </c>
      <c r="O4" s="153" t="s">
        <v>1149</v>
      </c>
      <c r="P4" s="153" t="s">
        <v>1148</v>
      </c>
      <c r="Q4" s="152"/>
    </row>
    <row r="5" spans="1:17" ht="45">
      <c r="A5" s="190"/>
      <c r="B5" s="148"/>
      <c r="C5" s="140"/>
      <c r="D5" s="147">
        <v>41883</v>
      </c>
      <c r="E5" s="138" t="s">
        <v>1639</v>
      </c>
      <c r="F5" s="138" t="s">
        <v>1808</v>
      </c>
      <c r="G5" s="190"/>
      <c r="H5" s="140"/>
      <c r="I5" s="147">
        <v>41883</v>
      </c>
      <c r="J5" s="138" t="s">
        <v>1639</v>
      </c>
      <c r="K5" s="138" t="s">
        <v>1808</v>
      </c>
      <c r="L5" s="190"/>
      <c r="M5" s="140"/>
      <c r="N5" s="147">
        <v>41883</v>
      </c>
      <c r="O5" s="138" t="s">
        <v>1639</v>
      </c>
      <c r="P5" s="138" t="s">
        <v>1808</v>
      </c>
      <c r="Q5" s="132"/>
    </row>
    <row r="6" spans="1:17" ht="18.75">
      <c r="A6" s="190"/>
      <c r="B6" s="192" t="s">
        <v>1044</v>
      </c>
      <c r="C6" s="140"/>
      <c r="D6" s="144">
        <v>41974</v>
      </c>
      <c r="E6" s="143" t="s">
        <v>1042</v>
      </c>
      <c r="F6" s="142"/>
      <c r="G6" s="190"/>
      <c r="H6" s="140"/>
      <c r="I6" s="144">
        <v>41974</v>
      </c>
      <c r="J6" s="143" t="s">
        <v>1042</v>
      </c>
      <c r="K6" s="142"/>
      <c r="L6" s="190"/>
      <c r="M6" s="140"/>
      <c r="N6" s="144">
        <v>41974</v>
      </c>
      <c r="O6" s="143" t="s">
        <v>1042</v>
      </c>
      <c r="P6" s="142"/>
      <c r="Q6" s="132"/>
    </row>
    <row r="7" spans="1:17" ht="45">
      <c r="A7" s="190"/>
      <c r="B7" s="192"/>
      <c r="C7" s="140"/>
      <c r="D7" s="139">
        <v>42125</v>
      </c>
      <c r="E7" s="141" t="s">
        <v>1899</v>
      </c>
      <c r="F7" s="137" t="s">
        <v>1898</v>
      </c>
      <c r="G7" s="190"/>
      <c r="H7" s="140"/>
      <c r="I7" s="139">
        <v>42125</v>
      </c>
      <c r="J7" s="141" t="s">
        <v>1897</v>
      </c>
      <c r="K7" s="137" t="s">
        <v>1896</v>
      </c>
      <c r="L7" s="190"/>
      <c r="M7" s="140"/>
      <c r="N7" s="139">
        <v>42156</v>
      </c>
      <c r="O7" s="141" t="s">
        <v>1895</v>
      </c>
      <c r="P7" s="137" t="s">
        <v>1879</v>
      </c>
      <c r="Q7" s="132"/>
    </row>
    <row r="8" spans="1:17" ht="18.75">
      <c r="A8" s="190"/>
      <c r="B8" s="192"/>
      <c r="C8" s="140"/>
      <c r="D8" s="139"/>
      <c r="E8" s="138"/>
      <c r="F8" s="137"/>
      <c r="G8" s="190"/>
      <c r="H8" s="140"/>
      <c r="I8" s="139">
        <v>42339</v>
      </c>
      <c r="J8" s="138" t="s">
        <v>1355</v>
      </c>
      <c r="K8" s="137"/>
      <c r="L8" s="190"/>
      <c r="M8" s="140"/>
      <c r="N8" s="139"/>
      <c r="O8" s="138"/>
      <c r="P8" s="137"/>
      <c r="Q8" s="132"/>
    </row>
    <row r="9" spans="1:17" ht="45">
      <c r="A9" s="190"/>
      <c r="B9" s="192"/>
      <c r="C9" s="140"/>
      <c r="D9" s="135">
        <v>42186</v>
      </c>
      <c r="E9" s="134" t="s">
        <v>1337</v>
      </c>
      <c r="F9" s="133" t="s">
        <v>1878</v>
      </c>
      <c r="G9" s="190"/>
      <c r="H9" s="140"/>
      <c r="I9" s="135">
        <v>42186</v>
      </c>
      <c r="J9" s="134" t="s">
        <v>1337</v>
      </c>
      <c r="K9" s="133" t="s">
        <v>1877</v>
      </c>
      <c r="L9" s="190"/>
      <c r="M9" s="140"/>
      <c r="N9" s="135"/>
      <c r="O9" s="134"/>
      <c r="P9" s="133"/>
      <c r="Q9" s="132"/>
    </row>
    <row r="10" spans="1:17" ht="18.75" customHeight="1">
      <c r="A10" s="190"/>
      <c r="B10" s="192" t="s">
        <v>1034</v>
      </c>
      <c r="C10" s="140"/>
      <c r="D10" s="144">
        <v>42339</v>
      </c>
      <c r="E10" s="143" t="s">
        <v>1355</v>
      </c>
      <c r="F10" s="142"/>
      <c r="G10" s="190"/>
      <c r="H10" s="140"/>
      <c r="I10" s="144">
        <v>42339</v>
      </c>
      <c r="J10" s="143" t="s">
        <v>1355</v>
      </c>
      <c r="K10" s="142"/>
      <c r="L10" s="190"/>
      <c r="M10" s="140"/>
      <c r="N10" s="144">
        <v>42309</v>
      </c>
      <c r="O10" s="143" t="s">
        <v>1894</v>
      </c>
      <c r="P10" s="142"/>
      <c r="Q10" s="132"/>
    </row>
    <row r="11" spans="1:17" ht="138.75" customHeight="1">
      <c r="A11" s="190"/>
      <c r="B11" s="192"/>
      <c r="C11" s="140"/>
      <c r="D11" s="135">
        <v>42491</v>
      </c>
      <c r="E11" s="134" t="s">
        <v>1893</v>
      </c>
      <c r="F11" s="133" t="s">
        <v>1891</v>
      </c>
      <c r="G11" s="190"/>
      <c r="H11" s="140"/>
      <c r="I11" s="135">
        <v>42491</v>
      </c>
      <c r="J11" s="134" t="s">
        <v>1893</v>
      </c>
      <c r="K11" s="133" t="s">
        <v>1891</v>
      </c>
      <c r="L11" s="190"/>
      <c r="M11" s="140"/>
      <c r="N11" s="135">
        <v>42491</v>
      </c>
      <c r="O11" s="134" t="s">
        <v>1892</v>
      </c>
      <c r="P11" s="133" t="s">
        <v>1891</v>
      </c>
      <c r="Q11" s="132"/>
    </row>
    <row r="12" spans="1:17" ht="18.75" customHeight="1">
      <c r="A12" s="190"/>
      <c r="B12" s="193" t="s">
        <v>1021</v>
      </c>
      <c r="C12" s="140"/>
      <c r="D12" s="144">
        <v>42705</v>
      </c>
      <c r="E12" s="143" t="s">
        <v>1164</v>
      </c>
      <c r="F12" s="142"/>
      <c r="G12" s="190"/>
      <c r="H12" s="140"/>
      <c r="I12" s="144">
        <v>42705</v>
      </c>
      <c r="J12" s="143" t="s">
        <v>1164</v>
      </c>
      <c r="K12" s="142"/>
      <c r="L12" s="190"/>
      <c r="M12" s="140"/>
      <c r="N12" s="144">
        <v>42705</v>
      </c>
      <c r="O12" s="143" t="s">
        <v>1164</v>
      </c>
      <c r="P12" s="142">
        <f>15*6</f>
        <v>90</v>
      </c>
      <c r="Q12" s="132"/>
    </row>
    <row r="13" spans="1:17" ht="43.5" customHeight="1">
      <c r="A13" s="190"/>
      <c r="B13" s="194"/>
      <c r="C13" s="149">
        <v>29</v>
      </c>
      <c r="D13" s="139">
        <v>42767</v>
      </c>
      <c r="E13" s="141" t="s">
        <v>1890</v>
      </c>
      <c r="F13" s="137" t="s">
        <v>1889</v>
      </c>
      <c r="G13" s="190"/>
      <c r="H13" s="136">
        <v>29</v>
      </c>
      <c r="I13" s="139">
        <v>42767</v>
      </c>
      <c r="J13" s="141" t="s">
        <v>1888</v>
      </c>
      <c r="K13" s="137" t="s">
        <v>1887</v>
      </c>
      <c r="L13" s="190"/>
      <c r="M13" s="136">
        <v>0</v>
      </c>
      <c r="N13" s="139">
        <v>42767</v>
      </c>
      <c r="O13" s="141" t="s">
        <v>1870</v>
      </c>
      <c r="P13" s="137" t="s">
        <v>1840</v>
      </c>
      <c r="Q13" s="132"/>
    </row>
    <row r="14" spans="1:17" ht="18.75">
      <c r="A14" s="190"/>
      <c r="B14" s="194"/>
      <c r="C14" s="140"/>
      <c r="D14" s="158"/>
      <c r="E14" s="138"/>
      <c r="F14" s="137"/>
      <c r="G14" s="190"/>
      <c r="H14" s="140"/>
      <c r="I14" s="158"/>
      <c r="J14" s="138"/>
      <c r="K14" s="137"/>
      <c r="L14" s="190"/>
      <c r="M14" s="140"/>
      <c r="N14" s="158"/>
      <c r="O14" s="138"/>
      <c r="P14" s="137"/>
      <c r="Q14" s="132"/>
    </row>
    <row r="15" spans="1:17" ht="70.5" customHeight="1">
      <c r="A15" s="190"/>
      <c r="B15" s="195"/>
      <c r="C15" s="149">
        <v>2</v>
      </c>
      <c r="D15" s="135">
        <v>42856</v>
      </c>
      <c r="E15" s="134" t="s">
        <v>1886</v>
      </c>
      <c r="F15" s="133" t="s">
        <v>1885</v>
      </c>
      <c r="G15" s="190"/>
      <c r="H15" s="136">
        <v>2</v>
      </c>
      <c r="I15" s="135">
        <v>42856</v>
      </c>
      <c r="J15" s="134" t="s">
        <v>1886</v>
      </c>
      <c r="K15" s="133" t="s">
        <v>1885</v>
      </c>
      <c r="L15" s="190"/>
      <c r="M15" s="136">
        <v>0</v>
      </c>
      <c r="N15" s="135">
        <v>42856</v>
      </c>
      <c r="O15" s="134" t="s">
        <v>1839</v>
      </c>
      <c r="P15" s="133" t="s">
        <v>1838</v>
      </c>
      <c r="Q15" s="132"/>
    </row>
    <row r="16" spans="1:17" ht="18.75">
      <c r="A16" s="132"/>
      <c r="B16" s="132"/>
      <c r="C16" s="140"/>
      <c r="D16" s="132"/>
      <c r="E16" s="132"/>
      <c r="F16" s="132"/>
      <c r="G16" s="132"/>
      <c r="H16" s="140"/>
      <c r="I16" s="132"/>
      <c r="J16" s="132"/>
      <c r="K16" s="132"/>
      <c r="L16" s="132"/>
      <c r="M16" s="140"/>
      <c r="N16" s="132"/>
      <c r="O16" s="132"/>
      <c r="P16" s="132"/>
      <c r="Q16" s="132"/>
    </row>
    <row r="17" spans="1:17" ht="45">
      <c r="A17" s="190">
        <v>2</v>
      </c>
      <c r="B17" s="148"/>
      <c r="C17" s="140"/>
      <c r="D17" s="147">
        <v>41883</v>
      </c>
      <c r="E17" s="138" t="s">
        <v>1639</v>
      </c>
      <c r="F17" s="138" t="s">
        <v>1808</v>
      </c>
      <c r="G17" s="190">
        <v>2</v>
      </c>
      <c r="H17" s="140"/>
      <c r="I17" s="147">
        <v>41883</v>
      </c>
      <c r="J17" s="138" t="s">
        <v>1639</v>
      </c>
      <c r="K17" s="138" t="s">
        <v>1808</v>
      </c>
      <c r="L17" s="190">
        <v>2</v>
      </c>
      <c r="M17" s="140"/>
      <c r="N17" s="147">
        <v>41883</v>
      </c>
      <c r="O17" s="138" t="s">
        <v>1639</v>
      </c>
      <c r="P17" s="138" t="s">
        <v>1808</v>
      </c>
      <c r="Q17" s="132"/>
    </row>
    <row r="18" spans="1:17" ht="18.75" customHeight="1">
      <c r="A18" s="190"/>
      <c r="B18" s="192" t="s">
        <v>1044</v>
      </c>
      <c r="C18" s="140"/>
      <c r="D18" s="144">
        <v>41974</v>
      </c>
      <c r="E18" s="143" t="s">
        <v>1042</v>
      </c>
      <c r="F18" s="142"/>
      <c r="G18" s="190"/>
      <c r="H18" s="140"/>
      <c r="I18" s="144">
        <v>41974</v>
      </c>
      <c r="J18" s="143" t="s">
        <v>1042</v>
      </c>
      <c r="K18" s="142"/>
      <c r="L18" s="190"/>
      <c r="M18" s="140"/>
      <c r="N18" s="144">
        <v>41974</v>
      </c>
      <c r="O18" s="143" t="s">
        <v>1042</v>
      </c>
      <c r="P18" s="142"/>
      <c r="Q18" s="132"/>
    </row>
    <row r="19" spans="1:17" ht="60">
      <c r="A19" s="190"/>
      <c r="B19" s="192"/>
      <c r="C19" s="140"/>
      <c r="D19" s="139">
        <v>42125</v>
      </c>
      <c r="E19" s="141" t="s">
        <v>1884</v>
      </c>
      <c r="F19" s="137" t="s">
        <v>1883</v>
      </c>
      <c r="G19" s="190"/>
      <c r="H19" s="140"/>
      <c r="I19" s="139">
        <v>42125</v>
      </c>
      <c r="J19" s="141" t="s">
        <v>1882</v>
      </c>
      <c r="K19" s="137" t="s">
        <v>1881</v>
      </c>
      <c r="L19" s="190"/>
      <c r="M19" s="140"/>
      <c r="N19" s="139">
        <v>42156</v>
      </c>
      <c r="O19" s="141" t="s">
        <v>1880</v>
      </c>
      <c r="P19" s="137" t="s">
        <v>1879</v>
      </c>
      <c r="Q19" s="132"/>
    </row>
    <row r="20" spans="1:17">
      <c r="A20" s="190"/>
      <c r="B20" s="192"/>
      <c r="C20" s="132"/>
      <c r="D20" s="139"/>
      <c r="E20" s="138"/>
      <c r="F20" s="137"/>
      <c r="G20" s="190"/>
      <c r="H20" s="132"/>
      <c r="I20" s="139">
        <v>42339</v>
      </c>
      <c r="J20" s="138" t="s">
        <v>1355</v>
      </c>
      <c r="K20" s="137"/>
      <c r="L20" s="190"/>
      <c r="M20" s="132"/>
      <c r="N20" s="139"/>
      <c r="O20" s="138"/>
      <c r="P20" s="137"/>
      <c r="Q20" s="132"/>
    </row>
    <row r="21" spans="1:17" ht="45">
      <c r="A21" s="190"/>
      <c r="B21" s="192"/>
      <c r="C21" s="140"/>
      <c r="D21" s="135">
        <v>42186</v>
      </c>
      <c r="E21" s="134" t="s">
        <v>1337</v>
      </c>
      <c r="F21" s="133" t="s">
        <v>1878</v>
      </c>
      <c r="G21" s="190"/>
      <c r="H21" s="140"/>
      <c r="I21" s="135">
        <v>42186</v>
      </c>
      <c r="J21" s="134" t="s">
        <v>1337</v>
      </c>
      <c r="K21" s="133" t="s">
        <v>1877</v>
      </c>
      <c r="L21" s="190"/>
      <c r="M21" s="140"/>
      <c r="N21" s="135"/>
      <c r="O21" s="134"/>
      <c r="P21" s="133"/>
      <c r="Q21" s="132"/>
    </row>
    <row r="22" spans="1:17" ht="18.75">
      <c r="A22" s="190"/>
      <c r="B22" s="192" t="s">
        <v>1034</v>
      </c>
      <c r="C22" s="140"/>
      <c r="D22" s="144">
        <v>42339</v>
      </c>
      <c r="E22" s="143" t="s">
        <v>1876</v>
      </c>
      <c r="F22" s="142"/>
      <c r="G22" s="190"/>
      <c r="H22" s="140"/>
      <c r="I22" s="144">
        <v>42339</v>
      </c>
      <c r="J22" s="143" t="s">
        <v>1876</v>
      </c>
      <c r="K22" s="142"/>
      <c r="L22" s="190"/>
      <c r="M22" s="140"/>
      <c r="N22" s="144">
        <v>42339</v>
      </c>
      <c r="O22" s="143" t="s">
        <v>1876</v>
      </c>
      <c r="P22" s="142"/>
      <c r="Q22" s="132"/>
    </row>
    <row r="23" spans="1:17" ht="117.75" customHeight="1">
      <c r="A23" s="190"/>
      <c r="B23" s="192"/>
      <c r="C23" s="140"/>
      <c r="D23" s="135">
        <v>42491</v>
      </c>
      <c r="E23" s="134" t="s">
        <v>1875</v>
      </c>
      <c r="F23" s="133" t="s">
        <v>1874</v>
      </c>
      <c r="G23" s="190"/>
      <c r="H23" s="140"/>
      <c r="I23" s="135">
        <v>42491</v>
      </c>
      <c r="J23" s="134" t="s">
        <v>1875</v>
      </c>
      <c r="K23" s="133" t="s">
        <v>1874</v>
      </c>
      <c r="L23" s="190"/>
      <c r="M23" s="140"/>
      <c r="N23" s="135">
        <v>42491</v>
      </c>
      <c r="O23" s="134" t="s">
        <v>1875</v>
      </c>
      <c r="P23" s="133" t="s">
        <v>1874</v>
      </c>
      <c r="Q23" s="132"/>
    </row>
    <row r="24" spans="1:17" ht="18.75">
      <c r="A24" s="190"/>
      <c r="B24" s="193" t="s">
        <v>1021</v>
      </c>
      <c r="C24" s="140"/>
      <c r="D24" s="144">
        <v>42705</v>
      </c>
      <c r="E24" s="143" t="s">
        <v>1164</v>
      </c>
      <c r="F24" s="142"/>
      <c r="G24" s="190"/>
      <c r="H24" s="140"/>
      <c r="I24" s="144">
        <v>42705</v>
      </c>
      <c r="J24" s="143" t="s">
        <v>1164</v>
      </c>
      <c r="K24" s="142"/>
      <c r="L24" s="190"/>
      <c r="M24" s="140"/>
      <c r="N24" s="144">
        <v>42705</v>
      </c>
      <c r="O24" s="143" t="s">
        <v>1164</v>
      </c>
      <c r="P24" s="142"/>
      <c r="Q24" s="132"/>
    </row>
    <row r="25" spans="1:17" ht="53.25" customHeight="1">
      <c r="A25" s="190"/>
      <c r="B25" s="194"/>
      <c r="C25" s="136">
        <v>11</v>
      </c>
      <c r="D25" s="139">
        <v>42767</v>
      </c>
      <c r="E25" s="141" t="s">
        <v>1873</v>
      </c>
      <c r="F25" s="137" t="s">
        <v>1871</v>
      </c>
      <c r="G25" s="190"/>
      <c r="H25" s="150">
        <v>11</v>
      </c>
      <c r="I25" s="139">
        <v>42767</v>
      </c>
      <c r="J25" s="141" t="s">
        <v>1872</v>
      </c>
      <c r="K25" s="137" t="s">
        <v>1871</v>
      </c>
      <c r="L25" s="190"/>
      <c r="M25" s="136">
        <v>0</v>
      </c>
      <c r="N25" s="139">
        <v>42767</v>
      </c>
      <c r="O25" s="141" t="s">
        <v>1870</v>
      </c>
      <c r="P25" s="137" t="s">
        <v>1840</v>
      </c>
      <c r="Q25" s="132"/>
    </row>
    <row r="26" spans="1:17" ht="18.75">
      <c r="A26" s="190"/>
      <c r="B26" s="194"/>
      <c r="C26" s="140"/>
      <c r="D26" s="139">
        <v>42856</v>
      </c>
      <c r="E26" s="138" t="s">
        <v>1869</v>
      </c>
      <c r="F26" s="137"/>
      <c r="G26" s="190"/>
      <c r="H26" s="140"/>
      <c r="I26" s="139">
        <v>42856</v>
      </c>
      <c r="J26" s="138" t="s">
        <v>1869</v>
      </c>
      <c r="K26" s="137"/>
      <c r="L26" s="190"/>
      <c r="M26" s="140"/>
      <c r="N26" s="158"/>
      <c r="O26" s="138"/>
      <c r="P26" s="137"/>
      <c r="Q26" s="132"/>
    </row>
    <row r="27" spans="1:17" ht="55.5" customHeight="1">
      <c r="A27" s="190"/>
      <c r="B27" s="195"/>
      <c r="C27" s="136">
        <v>11</v>
      </c>
      <c r="D27" s="135">
        <v>42856</v>
      </c>
      <c r="E27" s="134" t="s">
        <v>582</v>
      </c>
      <c r="F27" s="133" t="s">
        <v>1868</v>
      </c>
      <c r="G27" s="190"/>
      <c r="H27" s="150">
        <v>11</v>
      </c>
      <c r="I27" s="135">
        <v>42856</v>
      </c>
      <c r="J27" s="134" t="s">
        <v>582</v>
      </c>
      <c r="K27" s="133" t="s">
        <v>1868</v>
      </c>
      <c r="L27" s="190"/>
      <c r="M27" s="136">
        <v>0</v>
      </c>
      <c r="N27" s="135">
        <v>42856</v>
      </c>
      <c r="O27" s="134" t="s">
        <v>1839</v>
      </c>
      <c r="P27" s="133" t="s">
        <v>1838</v>
      </c>
      <c r="Q27" s="132"/>
    </row>
    <row r="28" spans="1:17" ht="18.75">
      <c r="A28" s="132"/>
      <c r="B28" s="132"/>
      <c r="C28" s="140"/>
      <c r="D28" s="132"/>
      <c r="E28" s="132"/>
      <c r="F28" s="132"/>
      <c r="G28" s="132"/>
      <c r="H28" s="140"/>
      <c r="I28" s="132"/>
      <c r="J28" s="132"/>
      <c r="K28" s="132"/>
      <c r="L28" s="132"/>
      <c r="M28" s="140"/>
      <c r="N28" s="132"/>
      <c r="O28" s="132"/>
      <c r="P28" s="132"/>
      <c r="Q28" s="132"/>
    </row>
    <row r="29" spans="1:17" ht="45">
      <c r="A29" s="190">
        <v>3</v>
      </c>
      <c r="B29" s="148"/>
      <c r="C29" s="140"/>
      <c r="D29" s="147">
        <v>41883</v>
      </c>
      <c r="E29" s="138" t="s">
        <v>1639</v>
      </c>
      <c r="F29" s="138" t="s">
        <v>1808</v>
      </c>
      <c r="G29" s="190">
        <v>3</v>
      </c>
      <c r="H29" s="140"/>
      <c r="I29" s="147">
        <v>41883</v>
      </c>
      <c r="J29" s="138" t="s">
        <v>1639</v>
      </c>
      <c r="K29" s="138" t="s">
        <v>1808</v>
      </c>
      <c r="L29" s="190">
        <v>3</v>
      </c>
      <c r="M29" s="140"/>
      <c r="N29" s="147">
        <v>41883</v>
      </c>
      <c r="O29" s="138" t="s">
        <v>1639</v>
      </c>
      <c r="P29" s="138" t="s">
        <v>1808</v>
      </c>
      <c r="Q29" s="132"/>
    </row>
    <row r="30" spans="1:17" ht="18.75" customHeight="1">
      <c r="A30" s="190"/>
      <c r="B30" s="192" t="s">
        <v>1044</v>
      </c>
      <c r="C30" s="140"/>
      <c r="D30" s="144">
        <v>41974</v>
      </c>
      <c r="E30" s="143" t="s">
        <v>1042</v>
      </c>
      <c r="F30" s="142"/>
      <c r="G30" s="190"/>
      <c r="H30" s="140"/>
      <c r="I30" s="144">
        <v>41974</v>
      </c>
      <c r="J30" s="143" t="s">
        <v>1042</v>
      </c>
      <c r="K30" s="142"/>
      <c r="L30" s="190"/>
      <c r="M30" s="140"/>
      <c r="N30" s="144">
        <v>41974</v>
      </c>
      <c r="O30" s="143" t="s">
        <v>1042</v>
      </c>
      <c r="P30" s="142"/>
      <c r="Q30" s="132"/>
    </row>
    <row r="31" spans="1:17" ht="75">
      <c r="A31" s="190"/>
      <c r="B31" s="192"/>
      <c r="C31" s="140"/>
      <c r="D31" s="139">
        <v>42125</v>
      </c>
      <c r="E31" s="141" t="s">
        <v>1856</v>
      </c>
      <c r="F31" s="137" t="s">
        <v>1855</v>
      </c>
      <c r="G31" s="190"/>
      <c r="H31" s="140"/>
      <c r="I31" s="139">
        <v>42125</v>
      </c>
      <c r="J31" s="141" t="s">
        <v>1854</v>
      </c>
      <c r="K31" s="137" t="s">
        <v>1853</v>
      </c>
      <c r="L31" s="190"/>
      <c r="M31" s="140"/>
      <c r="N31" s="139">
        <v>42156</v>
      </c>
      <c r="O31" s="141" t="s">
        <v>1867</v>
      </c>
      <c r="P31" s="137" t="s">
        <v>1866</v>
      </c>
      <c r="Q31" s="132"/>
    </row>
    <row r="32" spans="1:17" ht="18.75">
      <c r="A32" s="190"/>
      <c r="B32" s="192"/>
      <c r="C32" s="140"/>
      <c r="D32" s="139"/>
      <c r="E32" s="138"/>
      <c r="F32" s="137"/>
      <c r="G32" s="190"/>
      <c r="H32" s="140"/>
      <c r="I32" s="139">
        <v>42309</v>
      </c>
      <c r="J32" s="138" t="s">
        <v>1033</v>
      </c>
      <c r="K32" s="137"/>
      <c r="L32" s="190"/>
      <c r="M32" s="140"/>
      <c r="N32" s="139"/>
      <c r="O32" s="138"/>
      <c r="P32" s="137"/>
      <c r="Q32" s="132"/>
    </row>
    <row r="33" spans="1:17" ht="45">
      <c r="A33" s="190"/>
      <c r="B33" s="192"/>
      <c r="C33" s="140"/>
      <c r="D33" s="135">
        <v>42186</v>
      </c>
      <c r="E33" s="134" t="s">
        <v>1850</v>
      </c>
      <c r="F33" s="133" t="s">
        <v>1849</v>
      </c>
      <c r="G33" s="190"/>
      <c r="H33" s="140"/>
      <c r="I33" s="135">
        <v>42186</v>
      </c>
      <c r="J33" s="134" t="s">
        <v>1337</v>
      </c>
      <c r="K33" s="133" t="s">
        <v>1865</v>
      </c>
      <c r="L33" s="190"/>
      <c r="M33" s="140"/>
      <c r="N33" s="135"/>
      <c r="O33" s="134"/>
      <c r="P33" s="133"/>
      <c r="Q33" s="132"/>
    </row>
    <row r="34" spans="1:17" ht="18.75">
      <c r="A34" s="190"/>
      <c r="B34" s="192" t="s">
        <v>1034</v>
      </c>
      <c r="C34" s="140"/>
      <c r="D34" s="144">
        <v>42339</v>
      </c>
      <c r="E34" s="143" t="s">
        <v>1355</v>
      </c>
      <c r="F34" s="142"/>
      <c r="G34" s="190"/>
      <c r="H34" s="140"/>
      <c r="I34" s="144"/>
      <c r="J34" s="143" t="s">
        <v>1355</v>
      </c>
      <c r="K34" s="142"/>
      <c r="L34" s="190"/>
      <c r="M34" s="140"/>
      <c r="N34" s="144">
        <v>42309</v>
      </c>
      <c r="O34" s="143" t="s">
        <v>1824</v>
      </c>
      <c r="P34" s="142"/>
      <c r="Q34" s="132"/>
    </row>
    <row r="35" spans="1:17" ht="116.25" customHeight="1">
      <c r="A35" s="190"/>
      <c r="B35" s="192"/>
      <c r="C35" s="140"/>
      <c r="D35" s="135">
        <v>42491</v>
      </c>
      <c r="E35" s="134" t="s">
        <v>1103</v>
      </c>
      <c r="F35" s="133" t="s">
        <v>1864</v>
      </c>
      <c r="G35" s="190"/>
      <c r="H35" s="140"/>
      <c r="I35" s="135">
        <v>42491</v>
      </c>
      <c r="J35" s="134" t="s">
        <v>1103</v>
      </c>
      <c r="K35" s="133" t="s">
        <v>1863</v>
      </c>
      <c r="L35" s="190"/>
      <c r="M35" s="140"/>
      <c r="N35" s="135">
        <v>42491</v>
      </c>
      <c r="O35" s="134" t="s">
        <v>1103</v>
      </c>
      <c r="P35" s="133" t="s">
        <v>1862</v>
      </c>
      <c r="Q35" s="132"/>
    </row>
    <row r="36" spans="1:17" ht="18.75">
      <c r="A36" s="190"/>
      <c r="B36" s="193" t="s">
        <v>1021</v>
      </c>
      <c r="C36" s="140"/>
      <c r="D36" s="144">
        <v>42705</v>
      </c>
      <c r="E36" s="143" t="s">
        <v>1164</v>
      </c>
      <c r="F36" s="142"/>
      <c r="G36" s="190"/>
      <c r="H36" s="140"/>
      <c r="I36" s="144">
        <v>42705</v>
      </c>
      <c r="J36" s="143" t="s">
        <v>1164</v>
      </c>
      <c r="K36" s="142"/>
      <c r="L36" s="190"/>
      <c r="M36" s="140"/>
      <c r="N36" s="144">
        <v>42705</v>
      </c>
      <c r="O36" s="143" t="s">
        <v>1164</v>
      </c>
      <c r="P36" s="142"/>
      <c r="Q36" s="132"/>
    </row>
    <row r="37" spans="1:17" ht="56.25" customHeight="1">
      <c r="A37" s="190"/>
      <c r="B37" s="194"/>
      <c r="C37" s="136">
        <v>14</v>
      </c>
      <c r="D37" s="139">
        <v>42767</v>
      </c>
      <c r="E37" s="141" t="s">
        <v>1861</v>
      </c>
      <c r="F37" s="137" t="s">
        <v>1860</v>
      </c>
      <c r="G37" s="190"/>
      <c r="H37" s="136">
        <v>14</v>
      </c>
      <c r="I37" s="139">
        <v>42767</v>
      </c>
      <c r="J37" s="141" t="s">
        <v>1861</v>
      </c>
      <c r="K37" s="137" t="s">
        <v>1860</v>
      </c>
      <c r="L37" s="190"/>
      <c r="M37" s="136">
        <v>0</v>
      </c>
      <c r="N37" s="139">
        <v>42767</v>
      </c>
      <c r="O37" s="141" t="s">
        <v>1859</v>
      </c>
      <c r="P37" s="137" t="s">
        <v>1840</v>
      </c>
      <c r="Q37" s="132"/>
    </row>
    <row r="38" spans="1:17" ht="18.75">
      <c r="A38" s="190"/>
      <c r="B38" s="194"/>
      <c r="C38" s="140"/>
      <c r="D38" s="139"/>
      <c r="E38" s="138"/>
      <c r="F38" s="137"/>
      <c r="G38" s="190"/>
      <c r="H38" s="140"/>
      <c r="I38" s="139"/>
      <c r="J38" s="138"/>
      <c r="K38" s="137"/>
      <c r="L38" s="190"/>
      <c r="M38" s="140"/>
      <c r="N38" s="139"/>
      <c r="O38" s="138"/>
      <c r="P38" s="137"/>
      <c r="Q38" s="132"/>
    </row>
    <row r="39" spans="1:17" ht="49.5" customHeight="1">
      <c r="A39" s="190"/>
      <c r="B39" s="195"/>
      <c r="C39" s="136">
        <v>1</v>
      </c>
      <c r="D39" s="135">
        <v>42917</v>
      </c>
      <c r="E39" s="134" t="s">
        <v>1858</v>
      </c>
      <c r="F39" s="133" t="s">
        <v>1857</v>
      </c>
      <c r="G39" s="190"/>
      <c r="H39" s="136">
        <v>1</v>
      </c>
      <c r="I39" s="135">
        <v>42917</v>
      </c>
      <c r="J39" s="134" t="s">
        <v>1858</v>
      </c>
      <c r="K39" s="133" t="s">
        <v>1857</v>
      </c>
      <c r="L39" s="190"/>
      <c r="M39" s="136">
        <v>0</v>
      </c>
      <c r="N39" s="135">
        <v>42856</v>
      </c>
      <c r="O39" s="134" t="s">
        <v>1839</v>
      </c>
      <c r="P39" s="133" t="s">
        <v>1838</v>
      </c>
      <c r="Q39" s="132"/>
    </row>
    <row r="40" spans="1:17" ht="18.75">
      <c r="A40" s="132"/>
      <c r="B40" s="132"/>
      <c r="C40" s="140"/>
      <c r="D40" s="132"/>
      <c r="E40" s="132"/>
      <c r="F40" s="132"/>
      <c r="G40" s="132"/>
      <c r="H40" s="140"/>
      <c r="I40" s="132"/>
      <c r="J40" s="132"/>
      <c r="K40" s="132"/>
      <c r="L40" s="132"/>
      <c r="M40" s="140"/>
      <c r="N40" s="132"/>
      <c r="O40" s="132"/>
      <c r="P40" s="132"/>
      <c r="Q40" s="132"/>
    </row>
    <row r="41" spans="1:17" ht="45">
      <c r="A41" s="190">
        <v>4</v>
      </c>
      <c r="B41" s="148"/>
      <c r="C41" s="140"/>
      <c r="D41" s="147">
        <v>41883</v>
      </c>
      <c r="E41" s="138" t="s">
        <v>1639</v>
      </c>
      <c r="F41" s="138" t="s">
        <v>1808</v>
      </c>
      <c r="G41" s="190">
        <v>4</v>
      </c>
      <c r="H41" s="140"/>
      <c r="I41" s="147">
        <v>41883</v>
      </c>
      <c r="J41" s="138" t="s">
        <v>1639</v>
      </c>
      <c r="K41" s="138" t="s">
        <v>1808</v>
      </c>
      <c r="L41" s="190">
        <v>4</v>
      </c>
      <c r="M41" s="140"/>
      <c r="N41" s="147">
        <v>41883</v>
      </c>
      <c r="O41" s="138" t="s">
        <v>1639</v>
      </c>
      <c r="P41" s="138" t="s">
        <v>1808</v>
      </c>
      <c r="Q41" s="132"/>
    </row>
    <row r="42" spans="1:17" ht="18.75" customHeight="1">
      <c r="A42" s="190"/>
      <c r="B42" s="192" t="s">
        <v>1044</v>
      </c>
      <c r="C42" s="140"/>
      <c r="D42" s="144">
        <v>41974</v>
      </c>
      <c r="E42" s="143" t="s">
        <v>1042</v>
      </c>
      <c r="F42" s="142"/>
      <c r="G42" s="190"/>
      <c r="H42" s="140"/>
      <c r="I42" s="144">
        <v>41974</v>
      </c>
      <c r="J42" s="143" t="s">
        <v>1042</v>
      </c>
      <c r="K42" s="142"/>
      <c r="L42" s="190"/>
      <c r="M42" s="140"/>
      <c r="N42" s="144">
        <v>41974</v>
      </c>
      <c r="O42" s="143" t="s">
        <v>1042</v>
      </c>
      <c r="P42" s="142"/>
      <c r="Q42" s="132"/>
    </row>
    <row r="43" spans="1:17" ht="75">
      <c r="A43" s="190"/>
      <c r="B43" s="192"/>
      <c r="C43" s="140"/>
      <c r="D43" s="139">
        <v>42125</v>
      </c>
      <c r="E43" s="141" t="s">
        <v>1856</v>
      </c>
      <c r="F43" s="137" t="s">
        <v>1855</v>
      </c>
      <c r="G43" s="190"/>
      <c r="H43" s="140"/>
      <c r="I43" s="139">
        <v>42125</v>
      </c>
      <c r="J43" s="141" t="s">
        <v>1854</v>
      </c>
      <c r="K43" s="137" t="s">
        <v>1853</v>
      </c>
      <c r="L43" s="190"/>
      <c r="M43" s="140"/>
      <c r="N43" s="139">
        <v>42156</v>
      </c>
      <c r="O43" s="141" t="s">
        <v>1852</v>
      </c>
      <c r="P43" s="137" t="s">
        <v>1851</v>
      </c>
      <c r="Q43" s="132"/>
    </row>
    <row r="44" spans="1:17" ht="18.75">
      <c r="A44" s="190"/>
      <c r="B44" s="192"/>
      <c r="C44" s="140"/>
      <c r="D44" s="139"/>
      <c r="E44" s="138"/>
      <c r="F44" s="137"/>
      <c r="G44" s="190"/>
      <c r="H44" s="140"/>
      <c r="I44" s="139"/>
      <c r="J44" s="138"/>
      <c r="K44" s="137"/>
      <c r="L44" s="190"/>
      <c r="M44" s="140"/>
      <c r="N44" s="139"/>
      <c r="O44" s="138"/>
      <c r="P44" s="137"/>
      <c r="Q44" s="132"/>
    </row>
    <row r="45" spans="1:17" ht="45">
      <c r="A45" s="190"/>
      <c r="B45" s="192"/>
      <c r="C45" s="140"/>
      <c r="D45" s="135">
        <v>42186</v>
      </c>
      <c r="E45" s="134" t="s">
        <v>1850</v>
      </c>
      <c r="F45" s="133" t="s">
        <v>1849</v>
      </c>
      <c r="G45" s="190"/>
      <c r="H45" s="140"/>
      <c r="I45" s="135"/>
      <c r="J45" s="134"/>
      <c r="K45" s="133"/>
      <c r="L45" s="190"/>
      <c r="M45" s="140"/>
      <c r="N45" s="135"/>
      <c r="O45" s="134"/>
      <c r="P45" s="133"/>
      <c r="Q45" s="132"/>
    </row>
    <row r="46" spans="1:17" ht="18.75">
      <c r="A46" s="190"/>
      <c r="B46" s="192" t="s">
        <v>1034</v>
      </c>
      <c r="C46" s="140"/>
      <c r="D46" s="144">
        <v>42339</v>
      </c>
      <c r="E46" s="143" t="s">
        <v>1355</v>
      </c>
      <c r="F46" s="142"/>
      <c r="G46" s="190"/>
      <c r="H46" s="140"/>
      <c r="I46" s="144">
        <v>42309</v>
      </c>
      <c r="J46" s="143" t="s">
        <v>1355</v>
      </c>
      <c r="K46" s="142"/>
      <c r="L46" s="190"/>
      <c r="M46" s="140"/>
      <c r="N46" s="144">
        <v>42309</v>
      </c>
      <c r="O46" s="143" t="s">
        <v>1824</v>
      </c>
      <c r="P46" s="142"/>
      <c r="Q46" s="132"/>
    </row>
    <row r="47" spans="1:17" ht="129.75" customHeight="1">
      <c r="A47" s="190"/>
      <c r="B47" s="192"/>
      <c r="C47" s="140"/>
      <c r="D47" s="135">
        <v>42430</v>
      </c>
      <c r="E47" s="134" t="s">
        <v>1848</v>
      </c>
      <c r="F47" s="133" t="s">
        <v>1847</v>
      </c>
      <c r="G47" s="190"/>
      <c r="H47" s="140"/>
      <c r="I47" s="135">
        <v>42430</v>
      </c>
      <c r="J47" s="134" t="s">
        <v>1848</v>
      </c>
      <c r="K47" s="133" t="s">
        <v>1847</v>
      </c>
      <c r="L47" s="190"/>
      <c r="M47" s="140"/>
      <c r="N47" s="135">
        <v>42430</v>
      </c>
      <c r="O47" s="134" t="s">
        <v>1846</v>
      </c>
      <c r="P47" s="133" t="s">
        <v>1845</v>
      </c>
      <c r="Q47" s="132"/>
    </row>
    <row r="48" spans="1:17" ht="18.75">
      <c r="A48" s="190"/>
      <c r="B48" s="193" t="s">
        <v>1021</v>
      </c>
      <c r="C48" s="140"/>
      <c r="D48" s="144">
        <v>42705</v>
      </c>
      <c r="E48" s="143" t="s">
        <v>1164</v>
      </c>
      <c r="F48" s="142"/>
      <c r="G48" s="190"/>
      <c r="H48" s="140"/>
      <c r="I48" s="144">
        <v>42705</v>
      </c>
      <c r="J48" s="143" t="s">
        <v>1164</v>
      </c>
      <c r="K48" s="142"/>
      <c r="L48" s="190"/>
      <c r="M48" s="140"/>
      <c r="N48" s="144">
        <v>42705</v>
      </c>
      <c r="O48" s="143" t="s">
        <v>1164</v>
      </c>
      <c r="P48" s="142"/>
      <c r="Q48" s="132"/>
    </row>
    <row r="49" spans="1:17" ht="89.25" customHeight="1">
      <c r="A49" s="190"/>
      <c r="B49" s="194"/>
      <c r="C49" s="150">
        <v>20</v>
      </c>
      <c r="D49" s="139">
        <v>42856</v>
      </c>
      <c r="E49" s="141" t="s">
        <v>1844</v>
      </c>
      <c r="F49" s="137" t="s">
        <v>1842</v>
      </c>
      <c r="G49" s="190"/>
      <c r="H49" s="150">
        <v>20</v>
      </c>
      <c r="I49" s="139">
        <v>42856</v>
      </c>
      <c r="J49" s="141" t="s">
        <v>1843</v>
      </c>
      <c r="K49" s="137" t="s">
        <v>1842</v>
      </c>
      <c r="L49" s="190"/>
      <c r="M49" s="136">
        <v>0</v>
      </c>
      <c r="N49" s="139">
        <v>42767</v>
      </c>
      <c r="O49" s="141" t="s">
        <v>1841</v>
      </c>
      <c r="P49" s="137" t="s">
        <v>1840</v>
      </c>
      <c r="Q49" s="132"/>
    </row>
    <row r="50" spans="1:17" ht="18.75">
      <c r="A50" s="190"/>
      <c r="B50" s="194"/>
      <c r="C50" s="140"/>
      <c r="D50" s="158"/>
      <c r="E50" s="138"/>
      <c r="F50" s="137"/>
      <c r="G50" s="190"/>
      <c r="H50" s="140"/>
      <c r="I50" s="158"/>
      <c r="J50" s="138"/>
      <c r="K50" s="137"/>
      <c r="L50" s="190"/>
      <c r="M50" s="140"/>
      <c r="N50" s="139"/>
      <c r="O50" s="138"/>
      <c r="P50" s="137"/>
      <c r="Q50" s="132"/>
    </row>
    <row r="51" spans="1:17" ht="45.75" customHeight="1">
      <c r="A51" s="190"/>
      <c r="B51" s="195"/>
      <c r="C51" s="140"/>
      <c r="D51" s="145"/>
      <c r="E51" s="156"/>
      <c r="F51" s="133"/>
      <c r="G51" s="190"/>
      <c r="H51" s="140"/>
      <c r="I51" s="145"/>
      <c r="J51" s="156"/>
      <c r="K51" s="133"/>
      <c r="L51" s="190"/>
      <c r="M51" s="136">
        <v>0</v>
      </c>
      <c r="N51" s="135">
        <v>42856</v>
      </c>
      <c r="O51" s="134" t="s">
        <v>1839</v>
      </c>
      <c r="P51" s="133" t="s">
        <v>1838</v>
      </c>
      <c r="Q51" s="132"/>
    </row>
    <row r="52" spans="1:17" ht="18.75">
      <c r="A52" s="132"/>
      <c r="B52" s="132"/>
      <c r="C52" s="140"/>
      <c r="D52" s="132"/>
      <c r="E52" s="132"/>
      <c r="F52" s="132"/>
      <c r="G52" s="132"/>
      <c r="H52" s="140"/>
      <c r="I52" s="132"/>
      <c r="J52" s="132"/>
      <c r="K52" s="132"/>
      <c r="L52" s="132"/>
      <c r="M52" s="140"/>
      <c r="N52" s="132"/>
      <c r="O52" s="132"/>
      <c r="P52" s="132"/>
      <c r="Q52" s="132"/>
    </row>
    <row r="53" spans="1:17" ht="45">
      <c r="A53" s="190">
        <v>5</v>
      </c>
      <c r="B53" s="148"/>
      <c r="C53" s="132"/>
      <c r="D53" s="147">
        <v>41883</v>
      </c>
      <c r="E53" s="138" t="s">
        <v>1639</v>
      </c>
      <c r="F53" s="138" t="s">
        <v>1808</v>
      </c>
      <c r="G53" s="190">
        <v>5</v>
      </c>
      <c r="H53" s="132"/>
      <c r="I53" s="147">
        <v>41883</v>
      </c>
      <c r="J53" s="138" t="s">
        <v>1639</v>
      </c>
      <c r="K53" s="138" t="s">
        <v>1808</v>
      </c>
      <c r="L53" s="190">
        <v>5</v>
      </c>
      <c r="M53" s="132"/>
      <c r="N53" s="147">
        <v>41883</v>
      </c>
      <c r="O53" s="138" t="s">
        <v>1639</v>
      </c>
      <c r="P53" s="138" t="s">
        <v>1808</v>
      </c>
      <c r="Q53" s="132"/>
    </row>
    <row r="54" spans="1:17" ht="18.75" customHeight="1">
      <c r="A54" s="190"/>
      <c r="B54" s="192" t="s">
        <v>1044</v>
      </c>
      <c r="C54" s="140"/>
      <c r="D54" s="144">
        <v>41974</v>
      </c>
      <c r="E54" s="143" t="s">
        <v>1816</v>
      </c>
      <c r="F54" s="142"/>
      <c r="G54" s="190"/>
      <c r="H54" s="140"/>
      <c r="I54" s="144">
        <v>41974</v>
      </c>
      <c r="J54" s="143" t="s">
        <v>1815</v>
      </c>
      <c r="K54" s="142"/>
      <c r="L54" s="190"/>
      <c r="M54" s="140"/>
      <c r="N54" s="144">
        <v>41974</v>
      </c>
      <c r="O54" s="143" t="s">
        <v>1042</v>
      </c>
      <c r="P54" s="142"/>
      <c r="Q54" s="132"/>
    </row>
    <row r="55" spans="1:17" ht="75">
      <c r="A55" s="190"/>
      <c r="B55" s="192"/>
      <c r="C55" s="140"/>
      <c r="D55" s="139">
        <v>42095</v>
      </c>
      <c r="E55" s="141" t="s">
        <v>1837</v>
      </c>
      <c r="F55" s="137" t="s">
        <v>1836</v>
      </c>
      <c r="G55" s="190"/>
      <c r="H55" s="140"/>
      <c r="I55" s="139">
        <v>42095</v>
      </c>
      <c r="J55" s="141" t="s">
        <v>1837</v>
      </c>
      <c r="K55" s="137" t="s">
        <v>1836</v>
      </c>
      <c r="L55" s="190"/>
      <c r="M55" s="140"/>
      <c r="N55" s="139">
        <v>42095</v>
      </c>
      <c r="O55" s="141" t="s">
        <v>1826</v>
      </c>
      <c r="P55" s="137" t="s">
        <v>1835</v>
      </c>
      <c r="Q55" s="132"/>
    </row>
    <row r="56" spans="1:17" ht="18.75">
      <c r="A56" s="190"/>
      <c r="B56" s="192"/>
      <c r="C56" s="140"/>
      <c r="D56" s="139"/>
      <c r="E56" s="138"/>
      <c r="F56" s="137"/>
      <c r="G56" s="190"/>
      <c r="H56" s="140"/>
      <c r="I56" s="139"/>
      <c r="J56" s="138"/>
      <c r="K56" s="137"/>
      <c r="L56" s="190"/>
      <c r="M56" s="140"/>
      <c r="N56" s="139"/>
      <c r="O56" s="138"/>
      <c r="P56" s="137"/>
      <c r="Q56" s="132"/>
    </row>
    <row r="57" spans="1:17" ht="18.75">
      <c r="A57" s="190"/>
      <c r="B57" s="192"/>
      <c r="C57" s="140"/>
      <c r="D57" s="135"/>
      <c r="E57" s="134"/>
      <c r="F57" s="133"/>
      <c r="G57" s="190"/>
      <c r="H57" s="140"/>
      <c r="I57" s="135"/>
      <c r="J57" s="134"/>
      <c r="K57" s="133"/>
      <c r="L57" s="190"/>
      <c r="M57" s="140"/>
      <c r="N57" s="135"/>
      <c r="O57" s="134"/>
      <c r="P57" s="133"/>
      <c r="Q57" s="132"/>
    </row>
    <row r="58" spans="1:17" ht="18.75">
      <c r="A58" s="190"/>
      <c r="B58" s="192" t="s">
        <v>1034</v>
      </c>
      <c r="C58" s="140"/>
      <c r="D58" s="144">
        <v>42339</v>
      </c>
      <c r="E58" s="143" t="s">
        <v>1355</v>
      </c>
      <c r="F58" s="142"/>
      <c r="G58" s="190"/>
      <c r="H58" s="140"/>
      <c r="I58" s="144">
        <v>42309</v>
      </c>
      <c r="J58" s="143" t="s">
        <v>1355</v>
      </c>
      <c r="K58" s="142"/>
      <c r="L58" s="190"/>
      <c r="M58" s="140"/>
      <c r="N58" s="144">
        <v>42309</v>
      </c>
      <c r="O58" s="143" t="s">
        <v>1824</v>
      </c>
      <c r="P58" s="142"/>
      <c r="Q58" s="132"/>
    </row>
    <row r="59" spans="1:17" ht="116.25" customHeight="1">
      <c r="A59" s="190"/>
      <c r="B59" s="192"/>
      <c r="C59" s="140"/>
      <c r="D59" s="135">
        <v>42491</v>
      </c>
      <c r="E59" s="134" t="s">
        <v>1834</v>
      </c>
      <c r="F59" s="133" t="s">
        <v>1833</v>
      </c>
      <c r="G59" s="190"/>
      <c r="H59" s="140"/>
      <c r="I59" s="135">
        <v>42491</v>
      </c>
      <c r="J59" s="134" t="s">
        <v>1103</v>
      </c>
      <c r="K59" s="133" t="s">
        <v>1832</v>
      </c>
      <c r="L59" s="190"/>
      <c r="M59" s="140"/>
      <c r="N59" s="135">
        <v>42491</v>
      </c>
      <c r="O59" s="134" t="s">
        <v>1103</v>
      </c>
      <c r="P59" s="133" t="s">
        <v>1832</v>
      </c>
      <c r="Q59" s="132"/>
    </row>
    <row r="60" spans="1:17" ht="34.5" customHeight="1">
      <c r="A60" s="190"/>
      <c r="B60" s="192" t="s">
        <v>1021</v>
      </c>
      <c r="C60" s="140"/>
      <c r="D60" s="144">
        <v>42705</v>
      </c>
      <c r="E60" s="143" t="s">
        <v>1164</v>
      </c>
      <c r="F60" s="142"/>
      <c r="G60" s="190"/>
      <c r="H60" s="140"/>
      <c r="I60" s="144">
        <v>42705</v>
      </c>
      <c r="J60" s="143" t="s">
        <v>1164</v>
      </c>
      <c r="K60" s="142"/>
      <c r="L60" s="190"/>
      <c r="M60" s="140"/>
      <c r="N60" s="144">
        <v>42705</v>
      </c>
      <c r="O60" s="143" t="s">
        <v>1164</v>
      </c>
      <c r="P60" s="142"/>
      <c r="Q60" s="132"/>
    </row>
    <row r="61" spans="1:17" ht="108.75" customHeight="1">
      <c r="A61" s="190"/>
      <c r="B61" s="192"/>
      <c r="C61" s="150">
        <v>20</v>
      </c>
      <c r="D61" s="135">
        <v>42856</v>
      </c>
      <c r="E61" s="134" t="s">
        <v>1831</v>
      </c>
      <c r="F61" s="133" t="s">
        <v>1795</v>
      </c>
      <c r="G61" s="190"/>
      <c r="H61" s="136">
        <v>20</v>
      </c>
      <c r="I61" s="135">
        <v>42856</v>
      </c>
      <c r="J61" s="134" t="s">
        <v>1830</v>
      </c>
      <c r="K61" s="133" t="s">
        <v>1795</v>
      </c>
      <c r="L61" s="190"/>
      <c r="M61" s="136">
        <v>0</v>
      </c>
      <c r="N61" s="135">
        <v>42856</v>
      </c>
      <c r="O61" s="134" t="s">
        <v>1829</v>
      </c>
      <c r="P61" s="133" t="s">
        <v>1794</v>
      </c>
      <c r="Q61" s="132"/>
    </row>
    <row r="62" spans="1:17" ht="18.75">
      <c r="A62" s="132"/>
      <c r="B62" s="132"/>
      <c r="C62" s="140"/>
      <c r="D62" s="132"/>
      <c r="E62" s="132"/>
      <c r="F62" s="132"/>
      <c r="G62" s="132"/>
      <c r="H62" s="140"/>
      <c r="I62" s="132"/>
      <c r="J62" s="132"/>
      <c r="K62" s="132"/>
      <c r="L62" s="132"/>
      <c r="M62" s="140"/>
      <c r="N62" s="132"/>
      <c r="O62" s="132"/>
      <c r="P62" s="132"/>
      <c r="Q62" s="132"/>
    </row>
    <row r="63" spans="1:17" ht="45">
      <c r="A63" s="190">
        <v>6</v>
      </c>
      <c r="B63" s="148"/>
      <c r="C63" s="140"/>
      <c r="D63" s="147">
        <v>41883</v>
      </c>
      <c r="E63" s="138" t="s">
        <v>1639</v>
      </c>
      <c r="F63" s="138" t="s">
        <v>1808</v>
      </c>
      <c r="G63" s="190">
        <v>6</v>
      </c>
      <c r="H63" s="140"/>
      <c r="I63" s="147">
        <v>41883</v>
      </c>
      <c r="J63" s="138" t="s">
        <v>1639</v>
      </c>
      <c r="K63" s="138" t="s">
        <v>1808</v>
      </c>
      <c r="L63" s="190">
        <v>6</v>
      </c>
      <c r="M63" s="140"/>
      <c r="N63" s="147">
        <v>41883</v>
      </c>
      <c r="O63" s="138" t="s">
        <v>1639</v>
      </c>
      <c r="P63" s="138" t="s">
        <v>1808</v>
      </c>
      <c r="Q63" s="132"/>
    </row>
    <row r="64" spans="1:17" ht="18.75" customHeight="1">
      <c r="A64" s="190"/>
      <c r="B64" s="192" t="s">
        <v>1044</v>
      </c>
      <c r="C64" s="140"/>
      <c r="D64" s="144">
        <v>41974</v>
      </c>
      <c r="E64" s="143" t="s">
        <v>1042</v>
      </c>
      <c r="F64" s="142"/>
      <c r="G64" s="190"/>
      <c r="H64" s="140"/>
      <c r="I64" s="144">
        <v>41974</v>
      </c>
      <c r="J64" s="143" t="s">
        <v>1042</v>
      </c>
      <c r="K64" s="142"/>
      <c r="L64" s="190"/>
      <c r="M64" s="140"/>
      <c r="N64" s="144">
        <v>41974</v>
      </c>
      <c r="O64" s="143" t="s">
        <v>1042</v>
      </c>
      <c r="P64" s="142"/>
      <c r="Q64" s="132"/>
    </row>
    <row r="65" spans="1:17" ht="75">
      <c r="A65" s="190"/>
      <c r="B65" s="192"/>
      <c r="C65" s="140"/>
      <c r="D65" s="139">
        <v>42125</v>
      </c>
      <c r="E65" s="141" t="s">
        <v>1828</v>
      </c>
      <c r="F65" s="137" t="s">
        <v>1827</v>
      </c>
      <c r="G65" s="190"/>
      <c r="H65" s="140"/>
      <c r="I65" s="139">
        <v>42125</v>
      </c>
      <c r="J65" s="141" t="s">
        <v>1828</v>
      </c>
      <c r="K65" s="137" t="s">
        <v>1827</v>
      </c>
      <c r="L65" s="190"/>
      <c r="M65" s="140"/>
      <c r="N65" s="139">
        <v>42125</v>
      </c>
      <c r="O65" s="141" t="s">
        <v>1826</v>
      </c>
      <c r="P65" s="137" t="s">
        <v>1825</v>
      </c>
      <c r="Q65" s="132"/>
    </row>
    <row r="66" spans="1:17" ht="18.75">
      <c r="A66" s="190"/>
      <c r="B66" s="192"/>
      <c r="C66" s="140"/>
      <c r="D66" s="139"/>
      <c r="E66" s="138"/>
      <c r="F66" s="137"/>
      <c r="G66" s="190"/>
      <c r="H66" s="140"/>
      <c r="I66" s="139"/>
      <c r="J66" s="138"/>
      <c r="K66" s="137"/>
      <c r="L66" s="190"/>
      <c r="M66" s="140"/>
      <c r="N66" s="139"/>
      <c r="O66" s="138"/>
      <c r="P66" s="137"/>
      <c r="Q66" s="132"/>
    </row>
    <row r="67" spans="1:17" ht="18.75">
      <c r="A67" s="190"/>
      <c r="B67" s="192"/>
      <c r="C67" s="140"/>
      <c r="D67" s="135"/>
      <c r="E67" s="134"/>
      <c r="F67" s="133"/>
      <c r="G67" s="190"/>
      <c r="H67" s="140"/>
      <c r="I67" s="135"/>
      <c r="J67" s="134"/>
      <c r="K67" s="133"/>
      <c r="L67" s="190"/>
      <c r="M67" s="140"/>
      <c r="N67" s="135"/>
      <c r="O67" s="134"/>
      <c r="P67" s="133"/>
      <c r="Q67" s="132"/>
    </row>
    <row r="68" spans="1:17" ht="18.75">
      <c r="A68" s="190"/>
      <c r="B68" s="192" t="s">
        <v>1034</v>
      </c>
      <c r="C68" s="140"/>
      <c r="D68" s="144">
        <v>42339</v>
      </c>
      <c r="E68" s="143" t="s">
        <v>1355</v>
      </c>
      <c r="F68" s="142"/>
      <c r="G68" s="190"/>
      <c r="H68" s="140"/>
      <c r="I68" s="144">
        <v>42309</v>
      </c>
      <c r="J68" s="143" t="s">
        <v>1355</v>
      </c>
      <c r="K68" s="142"/>
      <c r="L68" s="190"/>
      <c r="M68" s="140"/>
      <c r="N68" s="144">
        <v>42309</v>
      </c>
      <c r="O68" s="143" t="s">
        <v>1824</v>
      </c>
      <c r="P68" s="142"/>
      <c r="Q68" s="132"/>
    </row>
    <row r="69" spans="1:17" ht="137.25" customHeight="1">
      <c r="A69" s="190"/>
      <c r="B69" s="192"/>
      <c r="C69" s="140"/>
      <c r="D69" s="135">
        <v>42461</v>
      </c>
      <c r="E69" s="134" t="s">
        <v>1822</v>
      </c>
      <c r="F69" s="133" t="s">
        <v>1823</v>
      </c>
      <c r="G69" s="190"/>
      <c r="H69" s="140"/>
      <c r="I69" s="135">
        <v>42461</v>
      </c>
      <c r="J69" s="134" t="s">
        <v>1822</v>
      </c>
      <c r="K69" s="133" t="s">
        <v>1821</v>
      </c>
      <c r="L69" s="190"/>
      <c r="M69" s="140"/>
      <c r="N69" s="135">
        <v>42461</v>
      </c>
      <c r="O69" s="134" t="s">
        <v>1820</v>
      </c>
      <c r="P69" s="133" t="s">
        <v>1819</v>
      </c>
      <c r="Q69" s="132"/>
    </row>
    <row r="70" spans="1:17" ht="32.25" customHeight="1">
      <c r="A70" s="190"/>
      <c r="B70" s="192" t="s">
        <v>1021</v>
      </c>
      <c r="C70" s="132"/>
      <c r="D70" s="144">
        <v>42705</v>
      </c>
      <c r="E70" s="143" t="s">
        <v>1164</v>
      </c>
      <c r="F70" s="142"/>
      <c r="G70" s="190"/>
      <c r="H70" s="132"/>
      <c r="I70" s="144">
        <v>42705</v>
      </c>
      <c r="J70" s="143" t="s">
        <v>1164</v>
      </c>
      <c r="K70" s="142"/>
      <c r="L70" s="190"/>
      <c r="M70" s="132"/>
      <c r="N70" s="144">
        <v>42705</v>
      </c>
      <c r="O70" s="143" t="s">
        <v>1164</v>
      </c>
      <c r="P70" s="142"/>
      <c r="Q70" s="132"/>
    </row>
    <row r="71" spans="1:17" ht="98.25" customHeight="1">
      <c r="A71" s="190"/>
      <c r="B71" s="192"/>
      <c r="C71" s="150">
        <v>3</v>
      </c>
      <c r="D71" s="135">
        <v>42887</v>
      </c>
      <c r="E71" s="134" t="s">
        <v>1818</v>
      </c>
      <c r="F71" s="133" t="s">
        <v>1817</v>
      </c>
      <c r="G71" s="190"/>
      <c r="H71" s="136">
        <v>3</v>
      </c>
      <c r="I71" s="135">
        <v>42887</v>
      </c>
      <c r="J71" s="134" t="s">
        <v>1818</v>
      </c>
      <c r="K71" s="133" t="s">
        <v>1817</v>
      </c>
      <c r="L71" s="190"/>
      <c r="M71" s="136">
        <v>0</v>
      </c>
      <c r="N71" s="135">
        <v>42856</v>
      </c>
      <c r="O71" s="134" t="s">
        <v>225</v>
      </c>
      <c r="P71" s="133" t="s">
        <v>1794</v>
      </c>
      <c r="Q71" s="132"/>
    </row>
    <row r="72" spans="1:17" ht="18.75">
      <c r="A72" s="132"/>
      <c r="B72" s="132"/>
      <c r="C72" s="140"/>
      <c r="D72" s="132"/>
      <c r="E72" s="132"/>
      <c r="F72" s="132"/>
      <c r="G72" s="132"/>
      <c r="H72" s="140"/>
      <c r="I72" s="132"/>
      <c r="J72" s="132"/>
      <c r="K72" s="132"/>
      <c r="L72" s="132"/>
      <c r="M72" s="140"/>
      <c r="N72" s="132"/>
      <c r="O72" s="132"/>
      <c r="P72" s="132"/>
      <c r="Q72" s="132"/>
    </row>
    <row r="73" spans="1:17" ht="45">
      <c r="A73" s="190">
        <v>7</v>
      </c>
      <c r="B73" s="148"/>
      <c r="C73" s="140"/>
      <c r="D73" s="147">
        <v>41883</v>
      </c>
      <c r="E73" s="138" t="s">
        <v>1639</v>
      </c>
      <c r="F73" s="138" t="s">
        <v>1808</v>
      </c>
      <c r="G73" s="190">
        <v>7</v>
      </c>
      <c r="H73" s="140"/>
      <c r="I73" s="147">
        <v>41883</v>
      </c>
      <c r="J73" s="138" t="s">
        <v>1639</v>
      </c>
      <c r="K73" s="138" t="s">
        <v>1808</v>
      </c>
      <c r="L73" s="190">
        <v>7</v>
      </c>
      <c r="M73" s="140"/>
      <c r="N73" s="147">
        <v>41883</v>
      </c>
      <c r="O73" s="138" t="s">
        <v>1639</v>
      </c>
      <c r="P73" s="138" t="s">
        <v>1808</v>
      </c>
      <c r="Q73" s="132"/>
    </row>
    <row r="74" spans="1:17" ht="18.75" customHeight="1">
      <c r="A74" s="190"/>
      <c r="B74" s="192" t="s">
        <v>1044</v>
      </c>
      <c r="C74" s="140"/>
      <c r="D74" s="144">
        <v>41974</v>
      </c>
      <c r="E74" s="143" t="s">
        <v>1816</v>
      </c>
      <c r="F74" s="142"/>
      <c r="G74" s="190"/>
      <c r="H74" s="140"/>
      <c r="I74" s="144">
        <v>41974</v>
      </c>
      <c r="J74" s="143" t="s">
        <v>1815</v>
      </c>
      <c r="K74" s="142"/>
      <c r="L74" s="190"/>
      <c r="M74" s="140"/>
      <c r="N74" s="144">
        <v>41974</v>
      </c>
      <c r="O74" s="143" t="s">
        <v>1042</v>
      </c>
      <c r="P74" s="142"/>
      <c r="Q74" s="132"/>
    </row>
    <row r="75" spans="1:17" ht="45">
      <c r="A75" s="190"/>
      <c r="B75" s="192"/>
      <c r="C75" s="140"/>
      <c r="D75" s="139">
        <v>42125</v>
      </c>
      <c r="E75" s="141" t="s">
        <v>1807</v>
      </c>
      <c r="F75" s="137" t="s">
        <v>1806</v>
      </c>
      <c r="G75" s="190"/>
      <c r="H75" s="140"/>
      <c r="I75" s="139">
        <v>42125</v>
      </c>
      <c r="J75" s="141" t="s">
        <v>1805</v>
      </c>
      <c r="K75" s="137" t="s">
        <v>1814</v>
      </c>
      <c r="L75" s="190"/>
      <c r="M75" s="140"/>
      <c r="N75" s="139">
        <v>42125</v>
      </c>
      <c r="O75" s="141" t="s">
        <v>1805</v>
      </c>
      <c r="P75" s="137" t="s">
        <v>1814</v>
      </c>
      <c r="Q75" s="132"/>
    </row>
    <row r="76" spans="1:17" ht="18.75">
      <c r="A76" s="190"/>
      <c r="B76" s="192"/>
      <c r="C76" s="140"/>
      <c r="D76" s="139"/>
      <c r="E76" s="138"/>
      <c r="F76" s="137"/>
      <c r="G76" s="190"/>
      <c r="H76" s="140"/>
      <c r="I76" s="139">
        <v>42309</v>
      </c>
      <c r="J76" s="138" t="s">
        <v>1032</v>
      </c>
      <c r="K76" s="137"/>
      <c r="L76" s="190"/>
      <c r="M76" s="140"/>
      <c r="N76" s="139"/>
      <c r="O76" s="138"/>
      <c r="P76" s="137"/>
      <c r="Q76" s="132"/>
    </row>
    <row r="77" spans="1:17" ht="48" customHeight="1">
      <c r="A77" s="190"/>
      <c r="B77" s="192"/>
      <c r="C77" s="140"/>
      <c r="D77" s="135"/>
      <c r="E77" s="134"/>
      <c r="F77" s="133"/>
      <c r="G77" s="190"/>
      <c r="H77" s="140"/>
      <c r="I77" s="135"/>
      <c r="J77" s="134"/>
      <c r="K77" s="133"/>
      <c r="L77" s="190"/>
      <c r="M77" s="140"/>
      <c r="N77" s="135"/>
      <c r="O77" s="134"/>
      <c r="P77" s="133"/>
      <c r="Q77" s="132"/>
    </row>
    <row r="78" spans="1:17" ht="30">
      <c r="A78" s="190"/>
      <c r="B78" s="192" t="s">
        <v>1034</v>
      </c>
      <c r="C78" s="140"/>
      <c r="D78" s="144">
        <v>42339</v>
      </c>
      <c r="E78" s="143" t="s">
        <v>1813</v>
      </c>
      <c r="F78" s="142"/>
      <c r="G78" s="190"/>
      <c r="H78" s="140"/>
      <c r="I78" s="144">
        <v>42339</v>
      </c>
      <c r="J78" s="143" t="s">
        <v>1813</v>
      </c>
      <c r="K78" s="142"/>
      <c r="L78" s="190"/>
      <c r="M78" s="140"/>
      <c r="N78" s="144">
        <v>42339</v>
      </c>
      <c r="O78" s="143" t="s">
        <v>1813</v>
      </c>
      <c r="P78" s="142"/>
      <c r="Q78" s="132"/>
    </row>
    <row r="79" spans="1:17" ht="117" customHeight="1">
      <c r="A79" s="190"/>
      <c r="B79" s="192"/>
      <c r="C79" s="140"/>
      <c r="D79" s="135">
        <v>42461</v>
      </c>
      <c r="E79" s="134" t="s">
        <v>1812</v>
      </c>
      <c r="F79" s="133" t="s">
        <v>1811</v>
      </c>
      <c r="G79" s="190"/>
      <c r="H79" s="140"/>
      <c r="I79" s="135">
        <v>42461</v>
      </c>
      <c r="J79" s="134" t="s">
        <v>1812</v>
      </c>
      <c r="K79" s="133" t="s">
        <v>1811</v>
      </c>
      <c r="L79" s="190"/>
      <c r="M79" s="140"/>
      <c r="N79" s="135">
        <v>42461</v>
      </c>
      <c r="O79" s="134" t="s">
        <v>1812</v>
      </c>
      <c r="P79" s="133" t="s">
        <v>1811</v>
      </c>
      <c r="Q79" s="132"/>
    </row>
    <row r="80" spans="1:17" ht="30.75" customHeight="1">
      <c r="A80" s="190"/>
      <c r="B80" s="192" t="s">
        <v>1021</v>
      </c>
      <c r="C80" s="140"/>
      <c r="D80" s="144">
        <v>42705</v>
      </c>
      <c r="E80" s="143" t="s">
        <v>1164</v>
      </c>
      <c r="F80" s="142"/>
      <c r="G80" s="190"/>
      <c r="H80" s="140"/>
      <c r="I80" s="144">
        <v>42705</v>
      </c>
      <c r="J80" s="143" t="s">
        <v>1164</v>
      </c>
      <c r="K80" s="142"/>
      <c r="L80" s="190"/>
      <c r="M80" s="140"/>
      <c r="N80" s="144">
        <v>42705</v>
      </c>
      <c r="O80" s="143" t="s">
        <v>1164</v>
      </c>
      <c r="P80" s="142"/>
      <c r="Q80" s="132"/>
    </row>
    <row r="81" spans="1:17" ht="101.25" customHeight="1">
      <c r="A81" s="190"/>
      <c r="B81" s="192"/>
      <c r="C81" s="136">
        <v>2</v>
      </c>
      <c r="D81" s="135">
        <v>42856</v>
      </c>
      <c r="E81" s="134" t="s">
        <v>1810</v>
      </c>
      <c r="F81" s="133" t="s">
        <v>1809</v>
      </c>
      <c r="G81" s="190"/>
      <c r="H81" s="136">
        <v>2</v>
      </c>
      <c r="I81" s="135">
        <v>42856</v>
      </c>
      <c r="J81" s="134" t="s">
        <v>1810</v>
      </c>
      <c r="K81" s="133" t="s">
        <v>1809</v>
      </c>
      <c r="L81" s="190"/>
      <c r="M81" s="136">
        <v>0</v>
      </c>
      <c r="N81" s="135">
        <v>42856</v>
      </c>
      <c r="O81" s="134" t="s">
        <v>225</v>
      </c>
      <c r="P81" s="133" t="s">
        <v>1794</v>
      </c>
      <c r="Q81" s="132"/>
    </row>
    <row r="82" spans="1:17" ht="18.75">
      <c r="A82" s="132"/>
      <c r="B82" s="132"/>
      <c r="C82" s="140"/>
      <c r="D82" s="132"/>
      <c r="E82" s="132"/>
      <c r="F82" s="132"/>
      <c r="G82" s="132"/>
      <c r="H82" s="140"/>
      <c r="I82" s="132"/>
      <c r="J82" s="132"/>
      <c r="K82" s="132"/>
      <c r="L82" s="132"/>
      <c r="M82" s="140"/>
      <c r="N82" s="132"/>
      <c r="O82" s="132"/>
      <c r="P82" s="132"/>
      <c r="Q82" s="132"/>
    </row>
    <row r="83" spans="1:17" ht="45">
      <c r="A83" s="190">
        <v>8</v>
      </c>
      <c r="B83" s="148"/>
      <c r="C83" s="132"/>
      <c r="D83" s="147">
        <v>41883</v>
      </c>
      <c r="E83" s="138" t="s">
        <v>1639</v>
      </c>
      <c r="F83" s="138" t="s">
        <v>1808</v>
      </c>
      <c r="G83" s="190">
        <v>8</v>
      </c>
      <c r="H83" s="132"/>
      <c r="I83" s="147">
        <v>41883</v>
      </c>
      <c r="J83" s="138" t="s">
        <v>1639</v>
      </c>
      <c r="K83" s="138" t="s">
        <v>1808</v>
      </c>
      <c r="L83" s="190">
        <v>8</v>
      </c>
      <c r="M83" s="132"/>
      <c r="N83" s="147">
        <v>41883</v>
      </c>
      <c r="O83" s="138" t="s">
        <v>1639</v>
      </c>
      <c r="P83" s="138" t="s">
        <v>1808</v>
      </c>
      <c r="Q83" s="132"/>
    </row>
    <row r="84" spans="1:17" ht="18.75" customHeight="1">
      <c r="A84" s="190"/>
      <c r="B84" s="192" t="s">
        <v>1044</v>
      </c>
      <c r="C84" s="140"/>
      <c r="D84" s="144">
        <v>41974</v>
      </c>
      <c r="E84" s="143" t="s">
        <v>1042</v>
      </c>
      <c r="F84" s="142"/>
      <c r="G84" s="190"/>
      <c r="H84" s="140"/>
      <c r="I84" s="144">
        <v>41974</v>
      </c>
      <c r="J84" s="143" t="s">
        <v>1042</v>
      </c>
      <c r="K84" s="142"/>
      <c r="L84" s="190"/>
      <c r="M84" s="140"/>
      <c r="N84" s="144">
        <v>41974</v>
      </c>
      <c r="O84" s="143" t="s">
        <v>1042</v>
      </c>
      <c r="P84" s="142"/>
      <c r="Q84" s="132"/>
    </row>
    <row r="85" spans="1:17" ht="90">
      <c r="A85" s="190"/>
      <c r="B85" s="192"/>
      <c r="C85" s="140"/>
      <c r="D85" s="139">
        <v>42125</v>
      </c>
      <c r="E85" s="141" t="s">
        <v>1807</v>
      </c>
      <c r="F85" s="137" t="s">
        <v>1806</v>
      </c>
      <c r="G85" s="190"/>
      <c r="H85" s="140"/>
      <c r="I85" s="139">
        <v>42125</v>
      </c>
      <c r="J85" s="141" t="s">
        <v>1805</v>
      </c>
      <c r="K85" s="137" t="s">
        <v>1804</v>
      </c>
      <c r="L85" s="190"/>
      <c r="M85" s="140"/>
      <c r="N85" s="139">
        <v>42125</v>
      </c>
      <c r="O85" s="141" t="s">
        <v>1805</v>
      </c>
      <c r="P85" s="137" t="s">
        <v>1804</v>
      </c>
      <c r="Q85" s="132"/>
    </row>
    <row r="86" spans="1:17" ht="18.75">
      <c r="A86" s="190"/>
      <c r="B86" s="192"/>
      <c r="C86" s="140"/>
      <c r="D86" s="139">
        <v>42278</v>
      </c>
      <c r="E86" s="138" t="s">
        <v>1803</v>
      </c>
      <c r="F86" s="137"/>
      <c r="G86" s="190"/>
      <c r="H86" s="140"/>
      <c r="I86" s="139">
        <v>42278</v>
      </c>
      <c r="J86" s="138" t="s">
        <v>1803</v>
      </c>
      <c r="K86" s="137"/>
      <c r="L86" s="190"/>
      <c r="M86" s="140"/>
      <c r="N86" s="139">
        <v>42278</v>
      </c>
      <c r="O86" s="138" t="s">
        <v>1803</v>
      </c>
      <c r="P86" s="137"/>
      <c r="Q86" s="132"/>
    </row>
    <row r="87" spans="1:17" ht="30">
      <c r="A87" s="190"/>
      <c r="B87" s="192"/>
      <c r="C87" s="140"/>
      <c r="D87" s="135">
        <v>42278</v>
      </c>
      <c r="E87" s="134" t="s">
        <v>1802</v>
      </c>
      <c r="F87" s="133"/>
      <c r="G87" s="190"/>
      <c r="H87" s="140"/>
      <c r="I87" s="135">
        <v>42278</v>
      </c>
      <c r="J87" s="134" t="s">
        <v>1802</v>
      </c>
      <c r="K87" s="133"/>
      <c r="L87" s="190"/>
      <c r="M87" s="140"/>
      <c r="N87" s="135">
        <v>42278</v>
      </c>
      <c r="O87" s="134" t="s">
        <v>1802</v>
      </c>
      <c r="P87" s="133"/>
      <c r="Q87" s="132"/>
    </row>
    <row r="88" spans="1:17" ht="18.75">
      <c r="A88" s="190"/>
      <c r="B88" s="192" t="s">
        <v>1034</v>
      </c>
      <c r="C88" s="140"/>
      <c r="D88" s="144"/>
      <c r="E88" s="143"/>
      <c r="F88" s="142"/>
      <c r="G88" s="190"/>
      <c r="H88" s="140"/>
      <c r="I88" s="144"/>
      <c r="J88" s="143"/>
      <c r="K88" s="142"/>
      <c r="L88" s="190"/>
      <c r="M88" s="140"/>
      <c r="N88" s="144"/>
      <c r="O88" s="143"/>
      <c r="P88" s="142"/>
      <c r="Q88" s="132"/>
    </row>
    <row r="89" spans="1:17" ht="121.5" customHeight="1">
      <c r="A89" s="190"/>
      <c r="B89" s="192"/>
      <c r="C89" s="140"/>
      <c r="D89" s="135">
        <v>42491</v>
      </c>
      <c r="E89" s="134" t="s">
        <v>1103</v>
      </c>
      <c r="F89" s="133" t="s">
        <v>1801</v>
      </c>
      <c r="G89" s="190"/>
      <c r="H89" s="140"/>
      <c r="I89" s="135">
        <v>42491</v>
      </c>
      <c r="J89" s="134" t="s">
        <v>1800</v>
      </c>
      <c r="K89" s="133" t="s">
        <v>1799</v>
      </c>
      <c r="L89" s="190"/>
      <c r="M89" s="140"/>
      <c r="N89" s="135">
        <v>42491</v>
      </c>
      <c r="O89" s="134" t="s">
        <v>1798</v>
      </c>
      <c r="P89" s="133" t="s">
        <v>1797</v>
      </c>
      <c r="Q89" s="132"/>
    </row>
    <row r="90" spans="1:17" ht="33" customHeight="1">
      <c r="A90" s="190"/>
      <c r="B90" s="192" t="s">
        <v>1021</v>
      </c>
      <c r="C90" s="140"/>
      <c r="D90" s="144">
        <v>42705</v>
      </c>
      <c r="E90" s="143" t="s">
        <v>1164</v>
      </c>
      <c r="F90" s="142"/>
      <c r="G90" s="190"/>
      <c r="H90" s="140"/>
      <c r="I90" s="144">
        <v>42705</v>
      </c>
      <c r="J90" s="143" t="s">
        <v>1164</v>
      </c>
      <c r="K90" s="142"/>
      <c r="L90" s="190"/>
      <c r="M90" s="140"/>
      <c r="N90" s="144">
        <v>42705</v>
      </c>
      <c r="O90" s="143" t="s">
        <v>1164</v>
      </c>
      <c r="P90" s="142"/>
      <c r="Q90" s="132"/>
    </row>
    <row r="91" spans="1:17" ht="99" customHeight="1">
      <c r="A91" s="190"/>
      <c r="B91" s="192"/>
      <c r="C91" s="136">
        <v>20</v>
      </c>
      <c r="D91" s="135">
        <v>42856</v>
      </c>
      <c r="E91" s="134" t="s">
        <v>1796</v>
      </c>
      <c r="F91" s="133" t="s">
        <v>1795</v>
      </c>
      <c r="G91" s="190"/>
      <c r="H91" s="136">
        <v>20</v>
      </c>
      <c r="I91" s="135">
        <v>42856</v>
      </c>
      <c r="J91" s="134" t="s">
        <v>1796</v>
      </c>
      <c r="K91" s="133" t="s">
        <v>1795</v>
      </c>
      <c r="L91" s="190"/>
      <c r="M91" s="136">
        <v>0</v>
      </c>
      <c r="N91" s="135">
        <v>42856</v>
      </c>
      <c r="O91" s="134" t="s">
        <v>225</v>
      </c>
      <c r="P91" s="133" t="s">
        <v>1794</v>
      </c>
      <c r="Q91" s="132"/>
    </row>
    <row r="92" spans="1:17" ht="18.75">
      <c r="A92" s="132"/>
      <c r="B92" s="132"/>
      <c r="C92" s="140"/>
      <c r="D92" s="132"/>
      <c r="E92" s="132"/>
      <c r="F92" s="132"/>
      <c r="G92" s="132"/>
      <c r="H92" s="140"/>
      <c r="I92" s="132"/>
      <c r="J92" s="132"/>
      <c r="K92" s="132"/>
      <c r="L92" s="132"/>
      <c r="M92" s="140"/>
      <c r="N92" s="132"/>
      <c r="O92" s="132"/>
      <c r="P92" s="132"/>
      <c r="Q92" s="132"/>
    </row>
  </sheetData>
  <mergeCells count="52">
    <mergeCell ref="A17:A27"/>
    <mergeCell ref="G17:G27"/>
    <mergeCell ref="L17:L27"/>
    <mergeCell ref="B18:B21"/>
    <mergeCell ref="A1:Q1"/>
    <mergeCell ref="D2:F2"/>
    <mergeCell ref="I2:K2"/>
    <mergeCell ref="N2:P2"/>
    <mergeCell ref="A3:A15"/>
    <mergeCell ref="G3:G15"/>
    <mergeCell ref="L3:L15"/>
    <mergeCell ref="B6:B9"/>
    <mergeCell ref="B10:B11"/>
    <mergeCell ref="B12:B15"/>
    <mergeCell ref="B22:B23"/>
    <mergeCell ref="B24:B27"/>
    <mergeCell ref="B36:B39"/>
    <mergeCell ref="B80:B81"/>
    <mergeCell ref="B90:B91"/>
    <mergeCell ref="B48:B51"/>
    <mergeCell ref="B60:B61"/>
    <mergeCell ref="A29:A39"/>
    <mergeCell ref="G29:G39"/>
    <mergeCell ref="L29:L39"/>
    <mergeCell ref="B30:B33"/>
    <mergeCell ref="A41:A51"/>
    <mergeCell ref="G41:G51"/>
    <mergeCell ref="L41:L51"/>
    <mergeCell ref="B42:B45"/>
    <mergeCell ref="B34:B35"/>
    <mergeCell ref="A53:A61"/>
    <mergeCell ref="G53:G61"/>
    <mergeCell ref="L53:L61"/>
    <mergeCell ref="B54:B57"/>
    <mergeCell ref="B46:B47"/>
    <mergeCell ref="B58:B59"/>
    <mergeCell ref="A83:A91"/>
    <mergeCell ref="G83:G91"/>
    <mergeCell ref="L83:L91"/>
    <mergeCell ref="B84:B87"/>
    <mergeCell ref="A63:A71"/>
    <mergeCell ref="G63:G71"/>
    <mergeCell ref="L63:L71"/>
    <mergeCell ref="B64:B67"/>
    <mergeCell ref="A73:A81"/>
    <mergeCell ref="G73:G81"/>
    <mergeCell ref="L73:L81"/>
    <mergeCell ref="B74:B77"/>
    <mergeCell ref="B68:B69"/>
    <mergeCell ref="B78:B79"/>
    <mergeCell ref="B88:B89"/>
    <mergeCell ref="B70:B71"/>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1</vt:i4>
      </vt:variant>
    </vt:vector>
  </HeadingPairs>
  <TitlesOfParts>
    <vt:vector size="10" baseType="lpstr">
      <vt:lpstr>1-info leg.</vt:lpstr>
      <vt:lpstr>2-Assollement</vt:lpstr>
      <vt:lpstr>3-Plan de Culture</vt:lpstr>
      <vt:lpstr>4-Réalisation</vt:lpstr>
      <vt:lpstr>5-Morgane</vt:lpstr>
      <vt:lpstr>5-Estrella</vt:lpstr>
      <vt:lpstr>5-Lelahel</vt:lpstr>
      <vt:lpstr>5-Viviane</vt:lpstr>
      <vt:lpstr>5-Aril</vt:lpstr>
      <vt:lpstr>4-bis-Réal. Graph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dc:creator>
  <cp:lastModifiedBy>stef</cp:lastModifiedBy>
  <cp:lastPrinted>2016-01-18T09:24:13Z</cp:lastPrinted>
  <dcterms:created xsi:type="dcterms:W3CDTF">2014-01-04T07:57:38Z</dcterms:created>
  <dcterms:modified xsi:type="dcterms:W3CDTF">2017-12-13T05:02:55Z</dcterms:modified>
</cp:coreProperties>
</file>